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queryTables/queryTable1.xml" ContentType="application/vnd.openxmlformats-officedocument.spreadsheetml.queryTable+xml"/>
  <Override PartName="/xl/tables/table3.xml" ContentType="application/vnd.openxmlformats-officedocument.spreadsheetml.table+xml"/>
  <Override PartName="/xl/queryTables/queryTable2.xml" ContentType="application/vnd.openxmlformats-officedocument.spreadsheetml.query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227"/>
  <workbookPr filterPrivacy="1" defaultThemeVersion="124226"/>
  <xr:revisionPtr revIDLastSave="315" documentId="11_EE458901D94E0FAC24D1FB8B2847D07476FF14E1" xr6:coauthVersionLast="47" xr6:coauthVersionMax="47" xr10:uidLastSave="{DD57CD82-3BEC-4E6A-8B4B-A0B521F821BE}"/>
  <bookViews>
    <workbookView xWindow="-120" yWindow="-120" windowWidth="29040" windowHeight="15840" tabRatio="814" xr2:uid="{00000000-000D-0000-FFFF-FFFF00000000}"/>
  </bookViews>
  <sheets>
    <sheet name="Summary" sheetId="34" r:id="rId1"/>
    <sheet name="Waltham Forest NHS HC" sheetId="32" r:id="rId2"/>
    <sheet name="Fednet &amp; Practice Data" sheetId="33" r:id="rId3"/>
    <sheet name="Definitions" sheetId="14" r:id="rId4"/>
    <sheet name="CONTROL" sheetId="31" state="hidden" r:id="rId5"/>
    <sheet name="DATA" sheetId="30" state="hidden" r:id="rId6"/>
    <sheet name="Sheet1" sheetId="37" state="hidden" r:id="rId7"/>
    <sheet name="Sheet2" sheetId="35" state="hidden" r:id="rId8"/>
    <sheet name="Sheet3" sheetId="36" state="hidden" r:id="rId9"/>
    <sheet name="Sheet4" sheetId="38" state="hidden" r:id="rId10"/>
  </sheets>
  <definedNames>
    <definedName name="DATA">INDIRECT(CONTROL!$C$5)</definedName>
    <definedName name="ExternalData_1" localSheetId="5" hidden="1">DATA!#REF!</definedName>
    <definedName name="ExternalData_1" localSheetId="6" hidden="1">Sheet1!$A$1:$Q$6</definedName>
    <definedName name="ExternalData_1" localSheetId="9" hidden="1">Sheet4!$I$13:$U$18</definedName>
    <definedName name="IND">INDIRECT(CONTROL!$C$10)</definedName>
    <definedName name="NwID">INDIRECT(CONTROL!$C$11)</definedName>
    <definedName name="OrgID">INDIRECT(CONTROL!$C$8)</definedName>
    <definedName name="QSelection" localSheetId="2">Selection[Quarter]</definedName>
    <definedName name="QSelection">Selection[Quarter]</definedName>
    <definedName name="REL_D">INDIRECT(CONTROL!$C$9)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7" i="36" l="1"/>
  <c r="J7" i="36"/>
  <c r="I7" i="36"/>
  <c r="H7" i="36"/>
  <c r="M7" i="36"/>
  <c r="L7" i="36"/>
  <c r="K7" i="36"/>
  <c r="D7" i="36"/>
  <c r="M6" i="36"/>
  <c r="L6" i="36"/>
  <c r="K6" i="36"/>
  <c r="J6" i="36"/>
  <c r="I6" i="36"/>
  <c r="H6" i="36"/>
  <c r="G6" i="36"/>
  <c r="D6" i="36"/>
  <c r="I2" i="38"/>
  <c r="I3" i="38"/>
  <c r="I4" i="38"/>
  <c r="I5" i="38"/>
  <c r="I6" i="38"/>
  <c r="A1" i="32"/>
  <c r="A1" i="33"/>
  <c r="E6" i="36" l="1"/>
  <c r="F6" i="36" s="1"/>
  <c r="E7" i="36"/>
  <c r="F7" i="36" s="1"/>
  <c r="J2" i="38"/>
  <c r="K2" i="38"/>
  <c r="L2" i="38"/>
  <c r="M2" i="38"/>
  <c r="N2" i="38"/>
  <c r="O2" i="38"/>
  <c r="P2" i="38"/>
  <c r="Q2" i="38"/>
  <c r="R2" i="38"/>
  <c r="S2" i="38"/>
  <c r="T2" i="38"/>
  <c r="V2" i="38"/>
  <c r="W2" i="38"/>
  <c r="X2" i="38"/>
  <c r="Y2" i="38"/>
  <c r="J3" i="38"/>
  <c r="K3" i="38"/>
  <c r="L3" i="38"/>
  <c r="M3" i="38"/>
  <c r="N3" i="38"/>
  <c r="O3" i="38"/>
  <c r="P3" i="38"/>
  <c r="Q3" i="38"/>
  <c r="R3" i="38"/>
  <c r="S3" i="38"/>
  <c r="T3" i="38"/>
  <c r="V3" i="38"/>
  <c r="W3" i="38"/>
  <c r="X3" i="38"/>
  <c r="Y3" i="38"/>
  <c r="J4" i="38"/>
  <c r="K4" i="38"/>
  <c r="L4" i="38"/>
  <c r="M4" i="38"/>
  <c r="N4" i="38"/>
  <c r="O4" i="38"/>
  <c r="P4" i="38"/>
  <c r="Q4" i="38"/>
  <c r="R4" i="38"/>
  <c r="S4" i="38"/>
  <c r="T4" i="38"/>
  <c r="V4" i="38"/>
  <c r="W4" i="38"/>
  <c r="X4" i="38"/>
  <c r="Y4" i="38"/>
  <c r="J5" i="38"/>
  <c r="K5" i="38"/>
  <c r="L5" i="38"/>
  <c r="M5" i="38"/>
  <c r="N5" i="38"/>
  <c r="O5" i="38"/>
  <c r="P5" i="38"/>
  <c r="Q5" i="38"/>
  <c r="R5" i="38"/>
  <c r="S5" i="38"/>
  <c r="T5" i="38"/>
  <c r="V5" i="38"/>
  <c r="W5" i="38"/>
  <c r="X5" i="38"/>
  <c r="Y5" i="38"/>
  <c r="J6" i="38"/>
  <c r="K6" i="38"/>
  <c r="L6" i="38"/>
  <c r="M6" i="38"/>
  <c r="N6" i="38"/>
  <c r="O6" i="38"/>
  <c r="P6" i="38"/>
  <c r="Q6" i="38"/>
  <c r="R6" i="38"/>
  <c r="S6" i="38"/>
  <c r="T6" i="38"/>
  <c r="V6" i="38"/>
  <c r="W6" i="38"/>
  <c r="X6" i="38"/>
  <c r="Y6" i="38"/>
  <c r="F5" i="37"/>
  <c r="G5" i="37"/>
  <c r="H5" i="37"/>
  <c r="I5" i="37"/>
  <c r="J5" i="37"/>
  <c r="K5" i="37"/>
  <c r="L5" i="37"/>
  <c r="M5" i="37"/>
  <c r="N5" i="37"/>
  <c r="O5" i="37"/>
  <c r="P5" i="37"/>
  <c r="Q5" i="37"/>
  <c r="E5" i="37"/>
  <c r="D5" i="37"/>
  <c r="C5" i="37"/>
  <c r="D4" i="37"/>
  <c r="E4" i="37"/>
  <c r="F4" i="37"/>
  <c r="G4" i="37"/>
  <c r="H4" i="37"/>
  <c r="I4" i="37"/>
  <c r="J4" i="37"/>
  <c r="K4" i="37"/>
  <c r="L4" i="37"/>
  <c r="M4" i="37"/>
  <c r="N4" i="37"/>
  <c r="O4" i="37"/>
  <c r="P4" i="37"/>
  <c r="Q4" i="37"/>
  <c r="C4" i="37"/>
  <c r="D2" i="37"/>
  <c r="E2" i="37"/>
  <c r="F2" i="37"/>
  <c r="G2" i="37"/>
  <c r="H2" i="37"/>
  <c r="I2" i="37"/>
  <c r="J2" i="37"/>
  <c r="K2" i="37"/>
  <c r="L2" i="37"/>
  <c r="M2" i="37"/>
  <c r="N2" i="37"/>
  <c r="O2" i="37"/>
  <c r="P2" i="37"/>
  <c r="Q2" i="37"/>
  <c r="C2" i="37"/>
  <c r="D3" i="37"/>
  <c r="E3" i="37"/>
  <c r="F3" i="37"/>
  <c r="G3" i="37"/>
  <c r="H3" i="37"/>
  <c r="I3" i="37"/>
  <c r="J3" i="37"/>
  <c r="K3" i="37"/>
  <c r="L3" i="37"/>
  <c r="M3" i="37"/>
  <c r="N3" i="37"/>
  <c r="O3" i="37"/>
  <c r="P3" i="37"/>
  <c r="Q3" i="37"/>
  <c r="C3" i="37"/>
  <c r="D6" i="37"/>
  <c r="E6" i="37"/>
  <c r="F6" i="37"/>
  <c r="G6" i="37"/>
  <c r="H6" i="37"/>
  <c r="I6" i="37"/>
  <c r="J6" i="37"/>
  <c r="K6" i="37"/>
  <c r="L6" i="37"/>
  <c r="M6" i="37"/>
  <c r="N6" i="37"/>
  <c r="O6" i="37"/>
  <c r="P6" i="37"/>
  <c r="Q6" i="37"/>
  <c r="C6" i="37"/>
  <c r="B91" i="30"/>
  <c r="B92" i="30"/>
  <c r="B93" i="30"/>
  <c r="B94" i="30"/>
  <c r="B95" i="30"/>
  <c r="B96" i="30"/>
  <c r="B97" i="30"/>
  <c r="B98" i="30"/>
  <c r="B99" i="30"/>
  <c r="B100" i="30"/>
  <c r="B101" i="30"/>
  <c r="B102" i="30"/>
  <c r="B103" i="30"/>
  <c r="B104" i="30"/>
  <c r="B105" i="30"/>
  <c r="B106" i="30"/>
  <c r="B107" i="30"/>
  <c r="B108" i="30"/>
  <c r="B109" i="30"/>
  <c r="B110" i="30"/>
  <c r="B111" i="30"/>
  <c r="B112" i="30"/>
  <c r="B113" i="30"/>
  <c r="B114" i="30"/>
  <c r="B115" i="30"/>
  <c r="B116" i="30"/>
  <c r="B117" i="30"/>
  <c r="B118" i="30"/>
  <c r="L3" i="30"/>
  <c r="M3" i="30"/>
  <c r="N3" i="30"/>
  <c r="O3" i="30"/>
  <c r="P3" i="30"/>
  <c r="Q3" i="30"/>
  <c r="R3" i="30"/>
  <c r="S3" i="30"/>
  <c r="T3" i="30"/>
  <c r="U3" i="30"/>
  <c r="V3" i="30"/>
  <c r="W3" i="30"/>
  <c r="X3" i="30"/>
  <c r="Y3" i="30"/>
  <c r="Z3" i="30"/>
  <c r="B7" i="30" l="1"/>
  <c r="B8" i="30"/>
  <c r="B9" i="30"/>
  <c r="B10" i="30"/>
  <c r="B11" i="30"/>
  <c r="B12" i="30"/>
  <c r="B13" i="30"/>
  <c r="B14" i="30"/>
  <c r="B15" i="30"/>
  <c r="B16" i="30"/>
  <c r="B17" i="30"/>
  <c r="B18" i="30"/>
  <c r="B19" i="30"/>
  <c r="B20" i="30"/>
  <c r="B21" i="30"/>
  <c r="B22" i="30"/>
  <c r="B23" i="30"/>
  <c r="B24" i="30"/>
  <c r="B25" i="30"/>
  <c r="B26" i="30"/>
  <c r="B27" i="30"/>
  <c r="B28" i="30"/>
  <c r="B29" i="30"/>
  <c r="B30" i="30"/>
  <c r="B31" i="30"/>
  <c r="B32" i="30"/>
  <c r="B33" i="30"/>
  <c r="B34" i="30"/>
  <c r="B35" i="30"/>
  <c r="B36" i="30"/>
  <c r="B37" i="30"/>
  <c r="B38" i="30"/>
  <c r="B39" i="30"/>
  <c r="B40" i="30"/>
  <c r="B41" i="30"/>
  <c r="B42" i="30"/>
  <c r="B43" i="30"/>
  <c r="B44" i="30"/>
  <c r="B45" i="30"/>
  <c r="B46" i="30"/>
  <c r="B47" i="30"/>
  <c r="B48" i="30"/>
  <c r="B49" i="30"/>
  <c r="B50" i="30"/>
  <c r="B51" i="30"/>
  <c r="B52" i="30"/>
  <c r="B53" i="30"/>
  <c r="B54" i="30"/>
  <c r="B55" i="30"/>
  <c r="B56" i="30"/>
  <c r="B57" i="30"/>
  <c r="B58" i="30"/>
  <c r="B59" i="30"/>
  <c r="B60" i="30"/>
  <c r="B61" i="30"/>
  <c r="B62" i="30"/>
  <c r="B63" i="30"/>
  <c r="B64" i="30"/>
  <c r="B65" i="30"/>
  <c r="B66" i="30"/>
  <c r="B67" i="30"/>
  <c r="B68" i="30"/>
  <c r="B69" i="30"/>
  <c r="B70" i="30"/>
  <c r="B71" i="30"/>
  <c r="B72" i="30"/>
  <c r="B73" i="30"/>
  <c r="B74" i="30"/>
  <c r="B75" i="30"/>
  <c r="B76" i="30"/>
  <c r="B77" i="30"/>
  <c r="B78" i="30"/>
  <c r="B79" i="30"/>
  <c r="B80" i="30"/>
  <c r="B81" i="30"/>
  <c r="B82" i="30"/>
  <c r="B83" i="30"/>
  <c r="B84" i="30"/>
  <c r="B85" i="30"/>
  <c r="B86" i="30"/>
  <c r="B87" i="30"/>
  <c r="B88" i="30"/>
  <c r="B89" i="30"/>
  <c r="B90" i="30"/>
  <c r="B119" i="30"/>
  <c r="B120" i="30"/>
  <c r="B121" i="30"/>
  <c r="B122" i="30"/>
  <c r="B123" i="30"/>
  <c r="B124" i="30"/>
  <c r="B125" i="30"/>
  <c r="B126" i="30"/>
  <c r="B127" i="30"/>
  <c r="B128" i="30"/>
  <c r="B129" i="30"/>
  <c r="B130" i="30"/>
  <c r="B131" i="30"/>
  <c r="B132" i="30"/>
  <c r="B133" i="30"/>
  <c r="B134" i="30"/>
  <c r="B135" i="30"/>
  <c r="B136" i="30"/>
  <c r="B137" i="30"/>
  <c r="B138" i="30"/>
  <c r="B139" i="30"/>
  <c r="B140" i="30"/>
  <c r="B141" i="30"/>
  <c r="B142" i="30"/>
  <c r="B143" i="30"/>
  <c r="B144" i="30"/>
  <c r="B145" i="30"/>
  <c r="B146" i="30"/>
  <c r="B147" i="30"/>
  <c r="B148" i="30"/>
  <c r="B149" i="30"/>
  <c r="B150" i="30"/>
  <c r="B151" i="30"/>
  <c r="B152" i="30"/>
  <c r="B153" i="30"/>
  <c r="B154" i="30"/>
  <c r="B155" i="30"/>
  <c r="B156" i="30"/>
  <c r="B157" i="30"/>
  <c r="B158" i="30"/>
  <c r="B159" i="30"/>
  <c r="B160" i="30"/>
  <c r="B161" i="30"/>
  <c r="B162" i="30"/>
  <c r="B163" i="30"/>
  <c r="B164" i="30"/>
  <c r="B165" i="30"/>
  <c r="B166" i="30"/>
  <c r="B167" i="30"/>
  <c r="B168" i="30"/>
  <c r="B169" i="30"/>
  <c r="B170" i="30"/>
  <c r="B171" i="30"/>
  <c r="B172" i="30"/>
  <c r="B173" i="30"/>
  <c r="B174" i="30"/>
  <c r="B175" i="30"/>
  <c r="B176" i="30"/>
  <c r="B177" i="30"/>
  <c r="B178" i="30"/>
  <c r="B179" i="30"/>
  <c r="B180" i="30"/>
  <c r="B181" i="30"/>
  <c r="B182" i="30"/>
  <c r="B183" i="30"/>
  <c r="B184" i="30"/>
  <c r="B185" i="30"/>
  <c r="B186" i="30"/>
  <c r="B187" i="30"/>
  <c r="B188" i="30"/>
  <c r="B189" i="30"/>
  <c r="B190" i="30"/>
  <c r="B191" i="30"/>
  <c r="B192" i="30"/>
  <c r="B193" i="30"/>
  <c r="B194" i="30"/>
  <c r="B195" i="30"/>
  <c r="B196" i="30"/>
  <c r="B197" i="30"/>
  <c r="B198" i="30"/>
  <c r="B199" i="30"/>
  <c r="B200" i="30"/>
  <c r="B201" i="30"/>
  <c r="B202" i="30"/>
  <c r="B203" i="30"/>
  <c r="B204" i="30"/>
  <c r="B205" i="30"/>
  <c r="B206" i="30"/>
  <c r="B207" i="30"/>
  <c r="B208" i="30"/>
  <c r="B209" i="30"/>
  <c r="B210" i="30"/>
  <c r="B211" i="30"/>
  <c r="B212" i="30"/>
  <c r="B213" i="30"/>
  <c r="B214" i="30"/>
  <c r="B215" i="30"/>
  <c r="B216" i="30"/>
  <c r="B217" i="30"/>
  <c r="B218" i="30"/>
  <c r="B219" i="30"/>
  <c r="B220" i="30"/>
  <c r="B221" i="30"/>
  <c r="B222" i="30"/>
  <c r="B223" i="30"/>
  <c r="B224" i="30"/>
  <c r="B6" i="30"/>
  <c r="B3" i="32" l="1"/>
  <c r="B47" i="32" s="1"/>
  <c r="A3" i="34"/>
  <c r="A1" i="34" s="1"/>
  <c r="F8" i="34"/>
  <c r="E8" i="34"/>
  <c r="F4" i="34"/>
  <c r="G2" i="35"/>
  <c r="H2" i="35" s="1"/>
  <c r="B6" i="34" s="1"/>
  <c r="AA2" i="30"/>
  <c r="AA3" i="30"/>
  <c r="N4" i="34"/>
  <c r="M4" i="34"/>
  <c r="L4" i="34"/>
  <c r="K4" i="34"/>
  <c r="J4" i="34"/>
  <c r="I4" i="34"/>
  <c r="H4" i="34"/>
  <c r="G4" i="34"/>
  <c r="B3" i="33"/>
  <c r="B16" i="33" s="1"/>
  <c r="N4" i="33"/>
  <c r="M4" i="33"/>
  <c r="L4" i="33"/>
  <c r="K4" i="33"/>
  <c r="J4" i="33"/>
  <c r="I4" i="33"/>
  <c r="H4" i="33"/>
  <c r="G4" i="33"/>
  <c r="M3" i="33"/>
  <c r="K3" i="33"/>
  <c r="I3" i="33"/>
  <c r="G3" i="33"/>
  <c r="F45" i="32"/>
  <c r="E45" i="32"/>
  <c r="N4" i="32"/>
  <c r="M4" i="32"/>
  <c r="L4" i="32"/>
  <c r="K4" i="32"/>
  <c r="J4" i="32"/>
  <c r="I4" i="32"/>
  <c r="H4" i="32"/>
  <c r="G4" i="32"/>
  <c r="M3" i="32"/>
  <c r="K3" i="32"/>
  <c r="I3" i="32"/>
  <c r="G3" i="32"/>
  <c r="B5" i="31"/>
  <c r="J3" i="30"/>
  <c r="Z2" i="30"/>
  <c r="Y2" i="30"/>
  <c r="X2" i="30"/>
  <c r="W2" i="30"/>
  <c r="V2" i="30"/>
  <c r="U2" i="30"/>
  <c r="T2" i="30"/>
  <c r="S2" i="30"/>
  <c r="R2" i="30"/>
  <c r="Q2" i="30"/>
  <c r="P2" i="30"/>
  <c r="O2" i="30"/>
  <c r="N2" i="30"/>
  <c r="M2" i="30"/>
  <c r="L2" i="30"/>
  <c r="B7" i="31"/>
  <c r="F4" i="33" l="1"/>
  <c r="F4" i="32"/>
  <c r="F7" i="34"/>
  <c r="F9" i="34" s="1"/>
  <c r="J7" i="34"/>
  <c r="N7" i="34"/>
  <c r="D7" i="34"/>
  <c r="D9" i="34" s="1"/>
  <c r="H7" i="34"/>
  <c r="L7" i="34"/>
  <c r="E7" i="34"/>
  <c r="E9" i="34" s="1"/>
  <c r="I7" i="34"/>
  <c r="M7" i="34"/>
  <c r="C7" i="34"/>
  <c r="C9" i="34" s="1"/>
  <c r="G7" i="34"/>
  <c r="K7" i="34"/>
  <c r="C10" i="31"/>
  <c r="B6" i="31" a="1"/>
  <c r="B6" i="31" l="1"/>
  <c r="C8" i="31" s="1"/>
  <c r="C5" i="31" l="1"/>
  <c r="C11" i="31"/>
  <c r="C9" i="31"/>
  <c r="L23" i="32"/>
  <c r="J31" i="32"/>
  <c r="C5" i="33"/>
  <c r="F7" i="32"/>
  <c r="M10" i="33"/>
  <c r="J27" i="32"/>
  <c r="M8" i="33"/>
  <c r="L42" i="32"/>
  <c r="H21" i="32"/>
  <c r="M22" i="32"/>
  <c r="F5" i="34"/>
  <c r="M38" i="32"/>
  <c r="G32" i="32"/>
  <c r="I13" i="33"/>
  <c r="J16" i="32"/>
  <c r="J13" i="33"/>
  <c r="I14" i="32"/>
  <c r="C22" i="32"/>
  <c r="G5" i="32"/>
  <c r="G40" i="32"/>
  <c r="J5" i="33"/>
  <c r="H6" i="32"/>
  <c r="I5" i="33"/>
  <c r="G9" i="32"/>
  <c r="G25" i="32"/>
  <c r="H17" i="32"/>
  <c r="F18" i="32"/>
  <c r="C6" i="32"/>
  <c r="C37" i="32"/>
  <c r="L10" i="32"/>
  <c r="C20" i="32"/>
  <c r="N20" i="32"/>
  <c r="F34" i="32"/>
  <c r="M27" i="32"/>
  <c r="I12" i="32"/>
  <c r="H36" i="32"/>
  <c r="J12" i="33"/>
  <c r="G8" i="32"/>
  <c r="K38" i="32"/>
  <c r="N14" i="33"/>
  <c r="H5" i="34"/>
  <c r="M25" i="32"/>
  <c r="F35" i="32"/>
  <c r="C11" i="32"/>
  <c r="J5" i="32"/>
  <c r="C5" i="32"/>
  <c r="L5" i="34"/>
  <c r="C27" i="32"/>
  <c r="F33" i="32"/>
  <c r="K36" i="32"/>
  <c r="L24" i="32"/>
  <c r="K24" i="32"/>
  <c r="K12" i="33"/>
  <c r="N29" i="32"/>
  <c r="K8" i="32"/>
  <c r="J12" i="32"/>
  <c r="F21" i="32"/>
  <c r="F22" i="32"/>
  <c r="F7" i="33"/>
  <c r="J37" i="32"/>
  <c r="N27" i="32"/>
  <c r="N37" i="32"/>
  <c r="F10" i="33"/>
  <c r="L28" i="32"/>
  <c r="I26" i="32"/>
  <c r="G21" i="32"/>
  <c r="K18" i="32"/>
  <c r="J17" i="32"/>
  <c r="J32" i="32"/>
  <c r="F40" i="32"/>
  <c r="K5" i="33"/>
  <c r="K28" i="32"/>
  <c r="I9" i="33"/>
  <c r="F9" i="32"/>
  <c r="I21" i="32"/>
  <c r="K43" i="32"/>
  <c r="L31" i="32"/>
  <c r="F42" i="32"/>
  <c r="J11" i="33"/>
  <c r="J7" i="32"/>
  <c r="C38" i="32"/>
  <c r="I6" i="34"/>
  <c r="F32" i="32"/>
  <c r="C14" i="32"/>
  <c r="G27" i="32"/>
  <c r="J18" i="32"/>
  <c r="M13" i="32"/>
  <c r="M40" i="32"/>
  <c r="J6" i="32"/>
  <c r="L36" i="32"/>
  <c r="H12" i="32"/>
  <c r="I33" i="32"/>
  <c r="N11" i="32"/>
  <c r="I37" i="32"/>
  <c r="L40" i="32"/>
  <c r="K11" i="33"/>
  <c r="M19" i="32"/>
  <c r="I9" i="32"/>
  <c r="C33" i="32"/>
  <c r="C41" i="32"/>
  <c r="G33" i="32"/>
  <c r="L17" i="32"/>
  <c r="F14" i="32"/>
  <c r="I12" i="33"/>
  <c r="L43" i="32"/>
  <c r="F5" i="33"/>
  <c r="C5" i="34"/>
  <c r="K29" i="32"/>
  <c r="M5" i="32"/>
  <c r="J36" i="32"/>
  <c r="L14" i="32"/>
  <c r="F24" i="32"/>
  <c r="L34" i="32"/>
  <c r="N19" i="32"/>
  <c r="L8" i="32"/>
  <c r="N35" i="32"/>
  <c r="H7" i="32"/>
  <c r="M34" i="32"/>
  <c r="J30" i="32"/>
  <c r="H39" i="32"/>
  <c r="M12" i="33"/>
  <c r="G13" i="32"/>
  <c r="N6" i="34"/>
  <c r="H22" i="32"/>
  <c r="C17" i="32"/>
  <c r="F43" i="32"/>
  <c r="I16" i="32"/>
  <c r="F12" i="32"/>
  <c r="K34" i="32"/>
  <c r="C29" i="32"/>
  <c r="I11" i="33"/>
  <c r="M11" i="32"/>
  <c r="M29" i="32"/>
  <c r="K11" i="32"/>
  <c r="I22" i="32"/>
  <c r="I35" i="32"/>
  <c r="H10" i="32"/>
  <c r="G16" i="32"/>
  <c r="I19" i="32"/>
  <c r="G28" i="32"/>
  <c r="C40" i="32"/>
  <c r="I7" i="32"/>
  <c r="F25" i="32"/>
  <c r="L39" i="32"/>
  <c r="L21" i="32"/>
  <c r="G35" i="32"/>
  <c r="N33" i="32"/>
  <c r="M36" i="32"/>
  <c r="K32" i="32"/>
  <c r="C9" i="33"/>
  <c r="H23" i="32"/>
  <c r="G23" i="32"/>
  <c r="M5" i="34"/>
  <c r="G30" i="32"/>
  <c r="M41" i="32"/>
  <c r="M7" i="32"/>
  <c r="K23" i="32"/>
  <c r="I34" i="32"/>
  <c r="I11" i="32"/>
  <c r="C30" i="32"/>
  <c r="F31" i="32"/>
  <c r="F6" i="32"/>
  <c r="K33" i="32"/>
  <c r="N5" i="34"/>
  <c r="H5" i="33"/>
  <c r="G18" i="32"/>
  <c r="M39" i="32"/>
  <c r="L29" i="32"/>
  <c r="G38" i="32"/>
  <c r="G43" i="32"/>
  <c r="C12" i="32"/>
  <c r="N9" i="32"/>
  <c r="H8" i="32"/>
  <c r="M31" i="32"/>
  <c r="J35" i="32"/>
  <c r="K10" i="33"/>
  <c r="I8" i="33"/>
  <c r="I38" i="32"/>
  <c r="L11" i="33"/>
  <c r="G6" i="33"/>
  <c r="G15" i="32"/>
  <c r="N18" i="32"/>
  <c r="M5" i="33"/>
  <c r="N7" i="33"/>
  <c r="G13" i="33"/>
  <c r="L26" i="32"/>
  <c r="M9" i="33"/>
  <c r="L8" i="33"/>
  <c r="C16" i="32"/>
  <c r="N9" i="33"/>
  <c r="C15" i="32"/>
  <c r="H11" i="32"/>
  <c r="K37" i="32"/>
  <c r="K17" i="32"/>
  <c r="H40" i="32"/>
  <c r="F6" i="33"/>
  <c r="N26" i="32"/>
  <c r="L35" i="32"/>
  <c r="C32" i="32"/>
  <c r="K9" i="33"/>
  <c r="M6" i="32"/>
  <c r="M15" i="32"/>
  <c r="G6" i="32"/>
  <c r="H30" i="32"/>
  <c r="M37" i="32"/>
  <c r="M21" i="32"/>
  <c r="J26" i="32"/>
  <c r="N30" i="32"/>
  <c r="H14" i="33"/>
  <c r="I7" i="33"/>
  <c r="C7" i="33"/>
  <c r="L30" i="32"/>
  <c r="M12" i="32"/>
  <c r="N17" i="32"/>
  <c r="G7" i="32"/>
  <c r="L6" i="34"/>
  <c r="J34" i="32"/>
  <c r="L12" i="33"/>
  <c r="L9" i="32"/>
  <c r="G11" i="33"/>
  <c r="G36" i="32"/>
  <c r="M8" i="32"/>
  <c r="J5" i="34"/>
  <c r="N12" i="33"/>
  <c r="M14" i="32"/>
  <c r="M6" i="33"/>
  <c r="L7" i="32"/>
  <c r="J41" i="32"/>
  <c r="I39" i="32"/>
  <c r="K30" i="32"/>
  <c r="J25" i="32"/>
  <c r="J19" i="32"/>
  <c r="K7" i="32"/>
  <c r="J8" i="33"/>
  <c r="N28" i="32"/>
  <c r="F9" i="33"/>
  <c r="G19" i="32"/>
  <c r="M7" i="33"/>
  <c r="L9" i="33"/>
  <c r="I17" i="32"/>
  <c r="G5" i="33"/>
  <c r="J14" i="32"/>
  <c r="L19" i="32"/>
  <c r="L37" i="32"/>
  <c r="L5" i="33"/>
  <c r="H24" i="32"/>
  <c r="K39" i="32"/>
  <c r="I42" i="32"/>
  <c r="G7" i="33"/>
  <c r="N23" i="32"/>
  <c r="I18" i="32"/>
  <c r="F20" i="32"/>
  <c r="K41" i="32"/>
  <c r="F16" i="32"/>
  <c r="C24" i="32"/>
  <c r="J39" i="32"/>
  <c r="G31" i="32"/>
  <c r="K8" i="33"/>
  <c r="F30" i="32"/>
  <c r="F29" i="32"/>
  <c r="I32" i="32"/>
  <c r="M9" i="32"/>
  <c r="I15" i="32"/>
  <c r="K5" i="34"/>
  <c r="N7" i="32"/>
  <c r="H20" i="32"/>
  <c r="M42" i="32"/>
  <c r="H35" i="32"/>
  <c r="F37" i="32"/>
  <c r="N5" i="32"/>
  <c r="F13" i="33"/>
  <c r="H16" i="32"/>
  <c r="G22" i="32"/>
  <c r="J33" i="32"/>
  <c r="M17" i="32"/>
  <c r="H37" i="32"/>
  <c r="N6" i="33"/>
  <c r="G26" i="32"/>
  <c r="G11" i="32"/>
  <c r="N10" i="33"/>
  <c r="K12" i="32"/>
  <c r="L38" i="32"/>
  <c r="G14" i="33"/>
  <c r="L27" i="32"/>
  <c r="C28" i="32"/>
  <c r="L33" i="32"/>
  <c r="N22" i="32"/>
  <c r="M35" i="32"/>
  <c r="G12" i="33"/>
  <c r="H15" i="32"/>
  <c r="F23" i="32"/>
  <c r="K6" i="34"/>
  <c r="I41" i="32"/>
  <c r="L22" i="32"/>
  <c r="L41" i="32"/>
  <c r="N40" i="32"/>
  <c r="I5" i="32"/>
  <c r="F39" i="32"/>
  <c r="K42" i="32"/>
  <c r="G6" i="34"/>
  <c r="H33" i="32"/>
  <c r="M30" i="32"/>
  <c r="C13" i="32"/>
  <c r="L6" i="32"/>
  <c r="N5" i="33"/>
  <c r="H28" i="32"/>
  <c r="G20" i="32"/>
  <c r="N21" i="32"/>
  <c r="G12" i="32"/>
  <c r="M16" i="32"/>
  <c r="F28" i="32"/>
  <c r="G41" i="32"/>
  <c r="J24" i="32"/>
  <c r="C9" i="32"/>
  <c r="I29" i="32"/>
  <c r="H31" i="32"/>
  <c r="M23" i="32"/>
  <c r="C7" i="32"/>
  <c r="N34" i="32"/>
  <c r="M28" i="32"/>
  <c r="H7" i="33"/>
  <c r="K14" i="33"/>
  <c r="I36" i="32"/>
  <c r="I30" i="32"/>
  <c r="J40" i="32"/>
  <c r="G39" i="32"/>
  <c r="H38" i="32"/>
  <c r="I31" i="32"/>
  <c r="M26" i="32"/>
  <c r="F27" i="32"/>
  <c r="J9" i="33"/>
  <c r="C42" i="32"/>
  <c r="M20" i="32"/>
  <c r="J10" i="32"/>
  <c r="G8" i="33"/>
  <c r="L16" i="32"/>
  <c r="H13" i="33"/>
  <c r="M32" i="32"/>
  <c r="N43" i="32"/>
  <c r="I5" i="34"/>
  <c r="L7" i="33"/>
  <c r="K26" i="32"/>
  <c r="G29" i="32"/>
  <c r="H10" i="33"/>
  <c r="J29" i="32"/>
  <c r="L6" i="33"/>
  <c r="K7" i="33"/>
  <c r="M33" i="32"/>
  <c r="J38" i="32"/>
  <c r="I40" i="32"/>
  <c r="C39" i="32"/>
  <c r="F38" i="32"/>
  <c r="K13" i="32"/>
  <c r="I10" i="33"/>
  <c r="I6" i="32"/>
  <c r="C10" i="32"/>
  <c r="F14" i="33"/>
  <c r="H5" i="32"/>
  <c r="K14" i="32"/>
  <c r="F11" i="32"/>
  <c r="M14" i="33"/>
  <c r="K9" i="32"/>
  <c r="J9" i="32"/>
  <c r="K27" i="32"/>
  <c r="G10" i="33"/>
  <c r="H43" i="32"/>
  <c r="L32" i="32"/>
  <c r="F8" i="32"/>
  <c r="M10" i="32"/>
  <c r="J8" i="32"/>
  <c r="N15" i="32"/>
  <c r="N13" i="33"/>
  <c r="N31" i="32"/>
  <c r="G42" i="32"/>
  <c r="N8" i="33"/>
  <c r="L12" i="32"/>
  <c r="L20" i="32"/>
  <c r="F6" i="34"/>
  <c r="N10" i="32"/>
  <c r="J43" i="32"/>
  <c r="C13" i="33"/>
  <c r="L18" i="32"/>
  <c r="L10" i="33"/>
  <c r="H11" i="33"/>
  <c r="H32" i="32"/>
  <c r="N11" i="33"/>
  <c r="I28" i="32"/>
  <c r="H42" i="32"/>
  <c r="N42" i="32"/>
  <c r="H41" i="32"/>
  <c r="N13" i="32"/>
  <c r="I25" i="32"/>
  <c r="I23" i="32"/>
  <c r="C21" i="32"/>
  <c r="K13" i="33"/>
  <c r="H26" i="32"/>
  <c r="C18" i="32"/>
  <c r="J11" i="32"/>
  <c r="J10" i="33"/>
  <c r="J20" i="32"/>
  <c r="H19" i="32"/>
  <c r="J6" i="33"/>
  <c r="L13" i="32"/>
  <c r="N16" i="32"/>
  <c r="C8" i="32"/>
  <c r="H18" i="32"/>
  <c r="L15" i="32"/>
  <c r="H34" i="32"/>
  <c r="J15" i="32"/>
  <c r="K16" i="32"/>
  <c r="K20" i="32"/>
  <c r="N25" i="32"/>
  <c r="K22" i="32"/>
  <c r="J6" i="34"/>
  <c r="M18" i="32"/>
  <c r="K40" i="32"/>
  <c r="I27" i="32"/>
  <c r="H6" i="34"/>
  <c r="I24" i="32"/>
  <c r="L14" i="33"/>
  <c r="F15" i="32"/>
  <c r="N12" i="32"/>
  <c r="H27" i="32"/>
  <c r="K35" i="32"/>
  <c r="C34" i="32"/>
  <c r="N39" i="32"/>
  <c r="H8" i="33"/>
  <c r="J21" i="32"/>
  <c r="C6" i="33"/>
  <c r="G9" i="33"/>
  <c r="F13" i="32"/>
  <c r="C6" i="34"/>
  <c r="N14" i="32"/>
  <c r="F36" i="32"/>
  <c r="K10" i="32"/>
  <c r="N24" i="32"/>
  <c r="I20" i="32"/>
  <c r="J42" i="32"/>
  <c r="G5" i="34"/>
  <c r="J13" i="32"/>
  <c r="H14" i="32"/>
  <c r="J14" i="33"/>
  <c r="K25" i="32"/>
  <c r="C36" i="32"/>
  <c r="C14" i="33"/>
  <c r="F19" i="32"/>
  <c r="K6" i="32"/>
  <c r="G37" i="32"/>
  <c r="N38" i="32"/>
  <c r="I6" i="33"/>
  <c r="K31" i="32"/>
  <c r="M24" i="32"/>
  <c r="J28" i="32"/>
  <c r="M6" i="34"/>
  <c r="M43" i="32"/>
  <c r="K21" i="32"/>
  <c r="I13" i="32"/>
  <c r="K19" i="32"/>
  <c r="L13" i="33"/>
  <c r="J22" i="32"/>
  <c r="H9" i="32"/>
  <c r="C10" i="33"/>
  <c r="G34" i="32"/>
  <c r="K15" i="32"/>
  <c r="N36" i="32"/>
  <c r="I8" i="32"/>
  <c r="C31" i="32"/>
  <c r="G24" i="32"/>
  <c r="C26" i="32"/>
  <c r="H9" i="33"/>
  <c r="F10" i="32"/>
  <c r="C8" i="33"/>
  <c r="G10" i="32"/>
  <c r="C35" i="32"/>
  <c r="H25" i="32"/>
  <c r="I14" i="33"/>
  <c r="C43" i="32"/>
  <c r="N6" i="32"/>
  <c r="F26" i="32"/>
  <c r="L5" i="32"/>
  <c r="K5" i="32"/>
  <c r="H13" i="32"/>
  <c r="K6" i="33"/>
  <c r="G14" i="32"/>
  <c r="D6" i="34"/>
  <c r="C19" i="32"/>
  <c r="F5" i="32"/>
  <c r="L25" i="32"/>
  <c r="H12" i="33"/>
  <c r="H6" i="33"/>
  <c r="H29" i="32"/>
  <c r="F8" i="33"/>
  <c r="C23" i="32"/>
  <c r="C25" i="32"/>
  <c r="N32" i="32"/>
  <c r="I43" i="32"/>
  <c r="L11" i="32"/>
  <c r="J23" i="32"/>
  <c r="N8" i="32"/>
  <c r="M13" i="33"/>
  <c r="N41" i="32"/>
  <c r="J7" i="33"/>
  <c r="G17" i="32"/>
  <c r="F17" i="32"/>
  <c r="F41" i="32"/>
  <c r="M11" i="33"/>
  <c r="I10" i="32"/>
  <c r="F44" i="32" l="1"/>
  <c r="F46" i="32" s="1"/>
  <c r="E6" i="34"/>
  <c r="K44" i="32"/>
  <c r="L44" i="32"/>
  <c r="H44" i="32"/>
  <c r="N15" i="33"/>
  <c r="I44" i="32"/>
  <c r="N44" i="32"/>
  <c r="L15" i="33"/>
  <c r="G15" i="33"/>
  <c r="M15" i="33"/>
  <c r="H15" i="33"/>
  <c r="M44" i="32"/>
  <c r="F15" i="33"/>
  <c r="K15" i="33"/>
  <c r="C44" i="32"/>
  <c r="C46" i="32" s="1"/>
  <c r="J44" i="32"/>
  <c r="I15" i="33"/>
  <c r="J15" i="33"/>
  <c r="G44" i="32"/>
  <c r="C15" i="33"/>
  <c r="D25" i="32"/>
  <c r="D35" i="32"/>
  <c r="D34" i="32"/>
  <c r="D42" i="32"/>
  <c r="D24" i="32"/>
  <c r="D12" i="32"/>
  <c r="D5" i="34"/>
  <c r="D22" i="32"/>
  <c r="D31" i="32"/>
  <c r="D7" i="33"/>
  <c r="D11" i="32"/>
  <c r="D43" i="32"/>
  <c r="D23" i="32"/>
  <c r="D8" i="33"/>
  <c r="D8" i="32"/>
  <c r="D7" i="32"/>
  <c r="D5" i="32"/>
  <c r="D30" i="32"/>
  <c r="D41" i="32"/>
  <c r="D19" i="32"/>
  <c r="D21" i="32"/>
  <c r="D9" i="33"/>
  <c r="D26" i="32"/>
  <c r="D18" i="32"/>
  <c r="D9" i="32"/>
  <c r="D33" i="32"/>
  <c r="D6" i="33"/>
  <c r="D10" i="33"/>
  <c r="D13" i="33"/>
  <c r="D13" i="32"/>
  <c r="D32" i="32"/>
  <c r="D40" i="32"/>
  <c r="D14" i="32"/>
  <c r="D20" i="32"/>
  <c r="D5" i="33"/>
  <c r="D15" i="32"/>
  <c r="D38" i="32"/>
  <c r="D28" i="32"/>
  <c r="D17" i="32"/>
  <c r="D39" i="32"/>
  <c r="D27" i="32"/>
  <c r="D14" i="33"/>
  <c r="D29" i="32"/>
  <c r="D37" i="32"/>
  <c r="D36" i="32"/>
  <c r="D10" i="32"/>
  <c r="D16" i="32"/>
  <c r="D6" i="32"/>
  <c r="E6" i="32" l="1"/>
  <c r="E16" i="32"/>
  <c r="E10" i="32"/>
  <c r="E36" i="32"/>
  <c r="E37" i="32"/>
  <c r="E29" i="32"/>
  <c r="E14" i="33"/>
  <c r="E27" i="32"/>
  <c r="E39" i="32"/>
  <c r="E17" i="32"/>
  <c r="E28" i="32"/>
  <c r="E38" i="32"/>
  <c r="E15" i="32"/>
  <c r="E5" i="33"/>
  <c r="D15" i="33"/>
  <c r="E15" i="33" s="1"/>
  <c r="E20" i="32"/>
  <c r="E14" i="32"/>
  <c r="E40" i="32"/>
  <c r="E32" i="32"/>
  <c r="E13" i="32"/>
  <c r="E13" i="33"/>
  <c r="E10" i="33"/>
  <c r="E6" i="33"/>
  <c r="E33" i="32"/>
  <c r="E9" i="32"/>
  <c r="E18" i="32"/>
  <c r="E26" i="32"/>
  <c r="E9" i="33"/>
  <c r="E21" i="32"/>
  <c r="E19" i="32"/>
  <c r="E41" i="32"/>
  <c r="E30" i="32"/>
  <c r="D44" i="32"/>
  <c r="E5" i="32"/>
  <c r="E7" i="32"/>
  <c r="E8" i="32"/>
  <c r="E8" i="33"/>
  <c r="E23" i="32"/>
  <c r="E43" i="32"/>
  <c r="E11" i="32"/>
  <c r="E7" i="33"/>
  <c r="E31" i="32"/>
  <c r="E22" i="32"/>
  <c r="E5" i="34"/>
  <c r="E12" i="32"/>
  <c r="E24" i="32"/>
  <c r="E42" i="32"/>
  <c r="E34" i="32"/>
  <c r="E35" i="32"/>
  <c r="E25" i="32"/>
  <c r="E44" i="32" l="1"/>
  <c r="E46" i="32" s="1"/>
  <c r="D46" i="32"/>
</calcChain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018BC919-0ADF-4244-906D-47A8A1389A3C}" keepAlive="1" name="Query - Data" description="Connection to the 'Data' query in the workbook." type="5" refreshedVersion="8" background="1" saveData="1">
    <dbPr connection="Provider=Microsoft.Mashup.OleDb.1;Data Source=$Workbook$;Location=Data;Extended Properties=&quot;&quot;" command="SELECT * FROM [Data]"/>
  </connection>
  <connection id="2" xr16:uid="{00000000-0015-0000-FFFF-FFFF00000000}" keepAlive="1" name="Query - Fednet data" description="Connection to the 'Fednet data' query in the workbook." type="5" refreshedVersion="6" background="1">
    <dbPr connection="Provider=Microsoft.Mashup.OleDb.1;Data Source=$Workbook$;Location=&quot;Fednet data&quot;;Extended Properties=&quot;&quot;" command="SELECT * FROM [Fednet data]"/>
  </connection>
  <connection id="3" xr16:uid="{00000000-0015-0000-FFFF-FFFF01000000}" keepAlive="1" name="Query - FEDNET_PHOF_Headers" description="Connection to the 'FEDNET_PHOF_Headers' query in the workbook." type="5" refreshedVersion="0" background="1">
    <dbPr connection="Provider=Microsoft.Mashup.OleDb.1;Data Source=$Workbook$;Location=FEDNET_PHOF_Headers;Extended Properties=&quot;&quot;" command="SELECT * FROM [FEDNET_PHOF_Headers]"/>
  </connection>
  <connection id="4" xr16:uid="{56A2908F-CE5A-468E-B3D2-06BBC525B3F4}" keepAlive="1" name="Query - MetricTitle" description="Connection to the 'MetricTitle' query in the workbook." type="5" refreshedVersion="0" background="1">
    <dbPr connection="Provider=Microsoft.Mashup.OleDb.1;Data Source=$Workbook$;Location=MetricTitle;Extended Properties=&quot;&quot;" command="SELECT * FROM [MetricTitle]"/>
  </connection>
  <connection id="5" xr16:uid="{00000000-0015-0000-FFFF-FFFF02000000}" keepAlive="1" name="Query - Sample File" description="Connection to the 'Sample File' query in the workbook." type="5" refreshedVersion="0" background="1">
    <dbPr connection="Provider=Microsoft.Mashup.OleDb.1;Data Source=$Workbook$;Location=&quot;Sample File&quot;;Extended Properties=&quot;&quot;" command="SELECT * FROM [Sample File]"/>
  </connection>
  <connection id="6" xr16:uid="{00000000-0015-0000-FFFF-FFFF03000000}" keepAlive="1" name="Query - Sample File (2)" description="Connection to the 'Sample File (2)' query in the workbook." type="5" refreshedVersion="0" background="1">
    <dbPr connection="Provider=Microsoft.Mashup.OleDb.1;Data Source=$Workbook$;Location=&quot;Sample File (2)&quot;;Extended Properties=&quot;&quot;" command="SELECT * FROM [Sample File (2)]"/>
  </connection>
  <connection id="7" xr16:uid="{6AAAB87B-07CD-4B10-86E9-8B0A1D6E552C}" keepAlive="1" name="Query - Sample File (3)" description="Connection to the 'Sample File (3)' query in the workbook." type="5" refreshedVersion="0" background="1">
    <dbPr connection="Provider=Microsoft.Mashup.OleDb.1;Data Source=$Workbook$;Location=&quot;Sample File (3)&quot;;Extended Properties=&quot;&quot;" command="SELECT * FROM [Sample File (3)]"/>
  </connection>
  <connection id="8" xr16:uid="{029DDE6F-76B1-457E-A4D0-ED97CE173F0A}" keepAlive="1" name="Query - Sample File (4)" description="Connection to the 'Sample File (4)' query in the workbook." type="5" refreshedVersion="0" background="1">
    <dbPr connection="Provider=Microsoft.Mashup.OleDb.1;Data Source=$Workbook$;Location=&quot;Sample File (4)&quot;;Extended Properties=&quot;&quot;" command="SELECT * FROM [Sample File (4)]"/>
  </connection>
  <connection id="9" xr16:uid="{00000000-0015-0000-FFFF-FFFF04000000}" keepAlive="1" name="Query - Sample File Parameter1" description="Connection to the 'Sample File Parameter1' query in the workbook." type="5" refreshedVersion="0" background="1">
    <dbPr connection="Provider=Microsoft.Mashup.OleDb.1;Data Source=$Workbook$;Location=&quot;Sample File Parameter1&quot;;Extended Properties=&quot;&quot;" command="SELECT * FROM [Sample File Parameter1]"/>
  </connection>
  <connection id="10" xr16:uid="{00000000-0015-0000-FFFF-FFFF05000000}" keepAlive="1" name="Query - Sample File Parameter2" description="Connection to the 'Sample File Parameter2' query in the workbook." type="5" refreshedVersion="0" background="1">
    <dbPr connection="Provider=Microsoft.Mashup.OleDb.1;Data Source=$Workbook$;Location=&quot;Sample File Parameter2&quot;;Extended Properties=&quot;&quot;" command="SELECT * FROM [Sample File Parameter2]"/>
  </connection>
  <connection id="11" xr16:uid="{FD53333E-C0BD-43AE-A865-AD9D19DB0AF7}" keepAlive="1" name="Query - Transform File from 1 10 2021" description="Connection to the 'Transform File from 1 10 2021' query in the workbook." type="5" refreshedVersion="0" background="1">
    <dbPr connection="Provider=Microsoft.Mashup.OleDb.1;Data Source=$Workbook$;Location=&quot;Transform File from 1 10 2021&quot;;Extended Properties=&quot;&quot;" command="SELECT * FROM [Transform File from 1 10 2021]"/>
  </connection>
  <connection id="12" xr16:uid="{00000000-0015-0000-FFFF-FFFF06000000}" keepAlive="1" name="Query - Transform File from Fednet data" description="Connection to the 'Transform File from Fednet data' query in the workbook." type="5" refreshedVersion="0" background="1">
    <dbPr connection="Provider=Microsoft.Mashup.OleDb.1;Data Source=$Workbook$;Location=&quot;Transform File from Fednet data&quot;;Extended Properties=&quot;&quot;" command="SELECT * FROM [Transform File from Fednet data]"/>
  </connection>
  <connection id="13" xr16:uid="{00000000-0015-0000-FFFF-FFFF07000000}" keepAlive="1" name="Query - Transform File from FEDNET_PHOF_Headers" description="Connection to the 'Transform File from FEDNET_PHOF_Headers' query in the workbook." type="5" refreshedVersion="0" background="1">
    <dbPr connection="Provider=Microsoft.Mashup.OleDb.1;Data Source=$Workbook$;Location=&quot;Transform File from FEDNET_PHOF_Headers&quot;;Extended Properties=&quot;&quot;" command="SELECT * FROM [Transform File from FEDNET_PHOF_Headers]"/>
  </connection>
  <connection id="14" xr16:uid="{393E8C44-CC97-4256-8DCB-4822BE2D41A1}" keepAlive="1" name="Query - Transform File from MetricTitle" description="Connection to the 'Transform File from MetricTitle' query in the workbook." type="5" refreshedVersion="0" background="1">
    <dbPr connection="Provider=Microsoft.Mashup.OleDb.1;Data Source=$Workbook$;Location=&quot;Transform File from MetricTitle&quot;;Extended Properties=&quot;&quot;" command="SELECT * FROM [Transform File from MetricTitle]"/>
  </connection>
  <connection id="15" xr16:uid="{00000000-0015-0000-FFFF-FFFF08000000}" keepAlive="1" name="Query - Transform Sample File from Fednet data" description="Connection to the 'Transform Sample File from Fednet data' query in the workbook." type="5" refreshedVersion="0" background="1">
    <dbPr connection="Provider=Microsoft.Mashup.OleDb.1;Data Source=$Workbook$;Location=&quot;Transform Sample File from Fednet data&quot;;Extended Properties=&quot;&quot;" command="SELECT * FROM [Transform Sample File from Fednet data]"/>
  </connection>
  <connection id="16" xr16:uid="{00000000-0015-0000-FFFF-FFFF09000000}" keepAlive="1" name="Query - Transform Sample File from FEDNET_PHOF_Headers" description="Connection to the 'Transform Sample File from FEDNET_PHOF_Headers' query in the workbook." type="5" refreshedVersion="0" background="1">
    <dbPr connection="Provider=Microsoft.Mashup.OleDb.1;Data Source=$Workbook$;Location=&quot;Transform Sample File from FEDNET_PHOF_Headers&quot;;Extended Properties=&quot;&quot;" command="SELECT * FROM [Transform Sample File from FEDNET_PHOF_Headers]"/>
  </connection>
  <connection id="17" xr16:uid="{00000000-0015-0000-FFFF-FFFF0A000000}" keepAlive="1" name="Query - WF LD" description="Connection to the 'WF LD' query in the workbook." type="5" refreshedVersion="8" background="1" saveData="1">
    <dbPr connection="Provider=Microsoft.Mashup.OleDb.1;Data Source=$Workbook$;Location=&quot;WF LD&quot;;Extended Properties=&quot;&quot;" command="SELECT * FROM [WF LD]"/>
  </connection>
</connections>
</file>

<file path=xl/sharedStrings.xml><?xml version="1.0" encoding="utf-8"?>
<sst xmlns="http://schemas.openxmlformats.org/spreadsheetml/2006/main" count="986" uniqueCount="285">
  <si>
    <t>Select a Date below</t>
  </si>
  <si>
    <t>SDLR03</t>
  </si>
  <si>
    <t>SDLR03TEP</t>
  </si>
  <si>
    <t>SDLR01-Q1</t>
  </si>
  <si>
    <t>SDLR02-Q1</t>
  </si>
  <si>
    <t>SDLR01-Q2</t>
  </si>
  <si>
    <t>SDLR02-Q2</t>
  </si>
  <si>
    <t>SDLR01-Q3</t>
  </si>
  <si>
    <t>SDLR02-Q3</t>
  </si>
  <si>
    <t>SDLR01-Q4</t>
  </si>
  <si>
    <t>SDLR02-Q4</t>
  </si>
  <si>
    <t>Aged 40-74</t>
  </si>
  <si>
    <t>Aged 40-74 not eligible for the NHS Health Check</t>
  </si>
  <si>
    <t>% not eligible</t>
  </si>
  <si>
    <t>Select a Practice &gt;&gt;</t>
  </si>
  <si>
    <t>Handsworth Medical Centre **</t>
  </si>
  <si>
    <t xml:space="preserve">Network </t>
  </si>
  <si>
    <t>Waltham Forest Total</t>
  </si>
  <si>
    <t xml:space="preserve">Total </t>
  </si>
  <si>
    <t>Waltham Forest ONS estimate</t>
  </si>
  <si>
    <t>E09000031</t>
  </si>
  <si>
    <t>TEP Difference CEG est / ONS est</t>
  </si>
  <si>
    <t>The figures in this region doesn't include fednet data</t>
  </si>
  <si>
    <t>**</t>
  </si>
  <si>
    <t>Systmone Practice</t>
  </si>
  <si>
    <t>Figures in this region doesn't include Fednet data</t>
  </si>
  <si>
    <t>Fednet &amp; Practice data tab shows  activities covered by practices and fednet separately</t>
  </si>
  <si>
    <t>Quarter 2</t>
  </si>
  <si>
    <t>Practice Name</t>
  </si>
  <si>
    <t>Organisation Code</t>
  </si>
  <si>
    <t>Chingford Medical Practice</t>
  </si>
  <si>
    <t>Y01291</t>
  </si>
  <si>
    <t>Churchill Medical Centre</t>
  </si>
  <si>
    <t>F86627</t>
  </si>
  <si>
    <t>The Ridgeway Surgery</t>
  </si>
  <si>
    <t>F86078</t>
  </si>
  <si>
    <t>Kings Head Medical Practice</t>
  </si>
  <si>
    <t>F86700</t>
  </si>
  <si>
    <t>Larkshall Medical Centre</t>
  </si>
  <si>
    <t>F86664</t>
  </si>
  <si>
    <t>Old Church Surgery</t>
  </si>
  <si>
    <t>F86616</t>
  </si>
  <si>
    <t>The Microfaculty **</t>
  </si>
  <si>
    <t>F86638</t>
  </si>
  <si>
    <t>The Manor Practice</t>
  </si>
  <si>
    <t>F86011</t>
  </si>
  <si>
    <t>The Allum Medical Centre</t>
  </si>
  <si>
    <t>F86036</t>
  </si>
  <si>
    <t>Sma Medical Centre</t>
  </si>
  <si>
    <t>F86038</t>
  </si>
  <si>
    <t xml:space="preserve"> Crawley Road Medical Centre</t>
  </si>
  <si>
    <t>F86044</t>
  </si>
  <si>
    <t>Francis Road Medical Centre</t>
  </si>
  <si>
    <t>F86696</t>
  </si>
  <si>
    <t>Green Man Medical Centre</t>
  </si>
  <si>
    <t>F86621</t>
  </si>
  <si>
    <t>Hampton Medical Centre</t>
  </si>
  <si>
    <t>F86712</t>
  </si>
  <si>
    <t>High Road Surgery</t>
  </si>
  <si>
    <t>F86045</t>
  </si>
  <si>
    <t>Kiyani Medical Practice</t>
  </si>
  <si>
    <t>F86701</t>
  </si>
  <si>
    <t>Lime Tree Surgery</t>
  </si>
  <si>
    <t>F86650</t>
  </si>
  <si>
    <t>LL Medical Care (Agarwal &amp; Agrwal Practice)</t>
  </si>
  <si>
    <t>F86625</t>
  </si>
  <si>
    <t>The Harrow Road Surgery</t>
  </si>
  <si>
    <t>F86666</t>
  </si>
  <si>
    <t>The Langthorne Sharma Family Practice</t>
  </si>
  <si>
    <t>F86705</t>
  </si>
  <si>
    <t>The Lyndhurst Surgery</t>
  </si>
  <si>
    <t>F86088</t>
  </si>
  <si>
    <t>Leyton Healthcare (Oliver Road) **</t>
  </si>
  <si>
    <t>F86074</t>
  </si>
  <si>
    <t>The Ecclesbourne Practice **</t>
  </si>
  <si>
    <t>F86018</t>
  </si>
  <si>
    <t>Addison Road Medical Practice</t>
  </si>
  <si>
    <t>F86607</t>
  </si>
  <si>
    <t>Claremont Medical Centre</t>
  </si>
  <si>
    <t>F86708</t>
  </si>
  <si>
    <t>The Firs</t>
  </si>
  <si>
    <t>F86001</t>
  </si>
  <si>
    <t xml:space="preserve"> The Penryhn Surgery</t>
  </si>
  <si>
    <t>F86005</t>
  </si>
  <si>
    <t>Dr Dhital Practice</t>
  </si>
  <si>
    <t>F86086</t>
  </si>
  <si>
    <t>Seymour Medical Centre</t>
  </si>
  <si>
    <t>F86006</t>
  </si>
  <si>
    <t>Dr Shantir Practice</t>
  </si>
  <si>
    <t>F86626</t>
  </si>
  <si>
    <t>Queen's Road Medical Centre</t>
  </si>
  <si>
    <t>F86030</t>
  </si>
  <si>
    <t>Grove Surgery</t>
  </si>
  <si>
    <t>F86062</t>
  </si>
  <si>
    <t>Higham Hill Medical Centre</t>
  </si>
  <si>
    <t>F86679</t>
  </si>
  <si>
    <t>Lime Tree &amp; Sinnott Healthcare Ltd</t>
  </si>
  <si>
    <t>Y01839</t>
  </si>
  <si>
    <t>St James Medical Practice Ltd</t>
  </si>
  <si>
    <t>F86058</t>
  </si>
  <si>
    <t>The Bailey Practice</t>
  </si>
  <si>
    <t>F86689</t>
  </si>
  <si>
    <t>Waltham Forest Community &amp; Family Health Services Ltd</t>
  </si>
  <si>
    <t>F86644</t>
  </si>
  <si>
    <t>Forest Surgery **</t>
  </si>
  <si>
    <t>F86026</t>
  </si>
  <si>
    <t>F86004</t>
  </si>
  <si>
    <t>Total</t>
  </si>
  <si>
    <t xml:space="preserve">Date Data: </t>
  </si>
  <si>
    <t>Kings Head Medical Practice (Fednet)</t>
  </si>
  <si>
    <t>F86700FN</t>
  </si>
  <si>
    <t>The Microfaculty</t>
  </si>
  <si>
    <t>The Microfaculty (Fednet)</t>
  </si>
  <si>
    <t>F86638FN</t>
  </si>
  <si>
    <t xml:space="preserve"> Queens Road Medical Centre</t>
  </si>
  <si>
    <t xml:space="preserve"> Queens Road Medical Centre (Fednet)</t>
  </si>
  <si>
    <t>F86030FN</t>
  </si>
  <si>
    <t>Seymour Medical Centre (Fednet)</t>
  </si>
  <si>
    <t>F86006FN</t>
  </si>
  <si>
    <t>Grove Surgery (Fednet)</t>
  </si>
  <si>
    <t>F86062FN</t>
  </si>
  <si>
    <t>Please note that  Fednet data reported under organisation code ending FN</t>
  </si>
  <si>
    <t>Term</t>
  </si>
  <si>
    <t>Definition</t>
  </si>
  <si>
    <t>5 Year Period 2</t>
  </si>
  <si>
    <t>01/04/2013 - 31/03/2018</t>
  </si>
  <si>
    <t>5 Year Period 1</t>
  </si>
  <si>
    <t>01/04/2008 - 31/03/2013</t>
  </si>
  <si>
    <t>Current Calculated Total Eligible Pop (TEP)</t>
  </si>
  <si>
    <t>Current Registered GP Patients on first day of Quarter</t>
  </si>
  <si>
    <t>Aged 40-74 years</t>
  </si>
  <si>
    <t>EXCLUDE Diabetes, Stroke, CHD, CKD, Hypertension, Heart Failure, Atrial Fibrillation or Peripheral Vascular Disease</t>
  </si>
  <si>
    <t>EXCLUDE Statins prescribed last 6m</t>
  </si>
  <si>
    <t>EXCLUDE QRISK &gt;=20%</t>
  </si>
  <si>
    <t>Health Check Offer</t>
  </si>
  <si>
    <t>Health Check Invitation by letter (1st), telephone, SMS, verbal.  Health Check done, declined, DNA [EARLIEST IN 5 Year Period 2]</t>
  </si>
  <si>
    <t>NHS Health Checks Offered</t>
  </si>
  <si>
    <t>All Registered GP Patients including Left &amp; Died</t>
  </si>
  <si>
    <t>Health Check Offer = reporting Quarter</t>
  </si>
  <si>
    <t>Aged 40-74 years at Health Check Offer</t>
  </si>
  <si>
    <t>EXCLUDE Diabetes, Stroke, CHD, CKD, Hypertension, Heart Failure, Atrial Fibrillation or Peripheral Vascular Disease BEFORE Health Check Offer</t>
  </si>
  <si>
    <t>EXCLUDE Statins prescribed last 6m BEFORE Health Check Offer</t>
  </si>
  <si>
    <t>EXCLUDE QRISK &gt;=20% IN 5 Year Period 1</t>
  </si>
  <si>
    <t>SDLR01-Q#</t>
  </si>
  <si>
    <t>NHS Health Check</t>
  </si>
  <si>
    <t>Health Check done  [EARLIEST IN 5 Year Period 2]</t>
  </si>
  <si>
    <t>NHS Health Checks Done</t>
  </si>
  <si>
    <t>NHS Health Check = reporting Quarter</t>
  </si>
  <si>
    <t>Aged 40-74 years at NHS Health Check</t>
  </si>
  <si>
    <t>EXCLUDE Diabetes, Stroke, CHD, CKD, Hypertension, Heart Failure, Atrial Fibrillation or Peripheral Vascular Disease BEFORE NHS Health Check</t>
  </si>
  <si>
    <t>EXCLUDE Statins prescribed last 6m BEFORE NHS Health Check</t>
  </si>
  <si>
    <t>SDLR02-Q#</t>
  </si>
  <si>
    <t>Data</t>
  </si>
  <si>
    <t>Address</t>
  </si>
  <si>
    <t>Quarter</t>
  </si>
  <si>
    <t>REL_D</t>
  </si>
  <si>
    <t>Data (Y/N)</t>
  </si>
  <si>
    <t>Quarter 1</t>
  </si>
  <si>
    <t>Q Work Sheet</t>
  </si>
  <si>
    <t>DATA</t>
  </si>
  <si>
    <t>Header Row</t>
  </si>
  <si>
    <t>Quarter 3</t>
  </si>
  <si>
    <t>Quarter 4</t>
  </si>
  <si>
    <t>Rows</t>
  </si>
  <si>
    <t>Columns</t>
  </si>
  <si>
    <t>OrgID</t>
  </si>
  <si>
    <t>IND</t>
  </si>
  <si>
    <t xml:space="preserve"> -</t>
  </si>
  <si>
    <t>NwID</t>
  </si>
  <si>
    <t>AUDIT_T</t>
  </si>
  <si>
    <t>X</t>
  </si>
  <si>
    <t>AUDIT_DD</t>
  </si>
  <si>
    <t>AUDIT_C</t>
  </si>
  <si>
    <t>SDLR01a</t>
  </si>
  <si>
    <t>SDLR01</t>
  </si>
  <si>
    <t>SDLR02</t>
  </si>
  <si>
    <t>SDLR02a</t>
  </si>
  <si>
    <t>SDLR03a</t>
  </si>
  <si>
    <t>00-00</t>
  </si>
  <si>
    <t>IND markers:</t>
  </si>
  <si>
    <t>{</t>
  </si>
  <si>
    <t>}</t>
  </si>
  <si>
    <t>1st IND</t>
  </si>
  <si>
    <t>RED: Search IND+Titles don't match</t>
  </si>
  <si>
    <t>1st Title</t>
  </si>
  <si>
    <t>NHS HC LBH Audit Report</t>
  </si>
  <si>
    <t>Last Run:</t>
  </si>
  <si>
    <t>Population Count</t>
  </si>
  <si>
    <t>Search</t>
  </si>
  <si>
    <t>{SDLR01a} Excluding ineligible for NHS Health Check (SDLR)</t>
  </si>
  <si>
    <t>{SDLR01} NHS Health Checks offered 2021-2022</t>
  </si>
  <si>
    <t>{SDLR02} NHS Health Checks done 2021-2022</t>
  </si>
  <si>
    <t>{SDLR03} Current Aged 40-74yrs</t>
  </si>
  <si>
    <t>{SDLR01-Q1} NHS Health Checks offered</t>
  </si>
  <si>
    <t>{SDLR01-Q2} NHS Health Checks offered</t>
  </si>
  <si>
    <t>{SDLR01-Q3} NHS Health Checks offered</t>
  </si>
  <si>
    <t>{SDLR01-Q4} NHS Health Checks offered</t>
  </si>
  <si>
    <t>{SDLR02a} Excluding ineligible for NHS Health Check (SDLR)</t>
  </si>
  <si>
    <t>{SDLR02-Q1} NHS Health Checks done</t>
  </si>
  <si>
    <t>{SDLR02-Q2} NHS Health Checks done</t>
  </si>
  <si>
    <t>{SDLR02-Q3} NHS Health Checks done</t>
  </si>
  <si>
    <t>{SDLR02-Q4} NHS Health Checks done</t>
  </si>
  <si>
    <t>{SDLR03a} Excl DM, IHD, Stroke/TIA, HyperT, PAD, FH, CKD, AF, HF,Statins</t>
  </si>
  <si>
    <t>{SDLR03TEP} current eligible TEP</t>
  </si>
  <si>
    <t>{00-00} Listsize</t>
  </si>
  <si>
    <t>Males</t>
  </si>
  <si>
    <t>Relative Date:</t>
  </si>
  <si>
    <t>Females</t>
  </si>
  <si>
    <t>Select Practice</t>
  </si>
  <si>
    <t>DN Team</t>
  </si>
  <si>
    <t>Patch</t>
  </si>
  <si>
    <t>Network</t>
  </si>
  <si>
    <t>selected OrgID</t>
  </si>
  <si>
    <t>WF-2</t>
  </si>
  <si>
    <t>WF-1</t>
  </si>
  <si>
    <t>WF-3</t>
  </si>
  <si>
    <t>WF-4</t>
  </si>
  <si>
    <t>Chingford/ Walthamstow</t>
  </si>
  <si>
    <t>Chingford E4</t>
  </si>
  <si>
    <t>WF-5</t>
  </si>
  <si>
    <t>Leyton Collaborative</t>
  </si>
  <si>
    <t>Forest Integrated Health</t>
  </si>
  <si>
    <t>South Leytonstone</t>
  </si>
  <si>
    <t>WF-6</t>
  </si>
  <si>
    <t>Central Walthamstow</t>
  </si>
  <si>
    <t>WF-7</t>
  </si>
  <si>
    <t>Walthamstow West</t>
  </si>
  <si>
    <t xml:space="preserve"> The Firs</t>
  </si>
  <si>
    <t>Total (emis)</t>
  </si>
  <si>
    <t>kings</t>
  </si>
  <si>
    <t>Micr</t>
  </si>
  <si>
    <t>grove</t>
  </si>
  <si>
    <t>Queens</t>
  </si>
  <si>
    <t>F86700#</t>
  </si>
  <si>
    <t xml:space="preserve">Kings Head Medical Practice </t>
  </si>
  <si>
    <t>F86638#</t>
  </si>
  <si>
    <t>F86062#</t>
  </si>
  <si>
    <t>F86030#</t>
  </si>
  <si>
    <t>F86006#</t>
  </si>
  <si>
    <t>Rel_D</t>
  </si>
  <si>
    <t>Excluding ineligible for NHS Health Check (SDLR)</t>
  </si>
  <si>
    <t>NHS Health Checks offered 2021-2022</t>
  </si>
  <si>
    <t>NHS Health Checks done 2021-2022</t>
  </si>
  <si>
    <t>Current Aged 40-74yrs</t>
  </si>
  <si>
    <t>NHS Health Checks offered</t>
  </si>
  <si>
    <t>NHS Health Checks done</t>
  </si>
  <si>
    <t>Excl DM, IHD, Stroke/TIA, HyperT, PAD, FH, CKD, AF, HF,Statins</t>
  </si>
  <si>
    <t>current eligible TEP</t>
  </si>
  <si>
    <t>Listsize</t>
  </si>
  <si>
    <t>Y04900</t>
  </si>
  <si>
    <t>King's Head Medical Practice</t>
  </si>
  <si>
    <t>The Grove Medical Centre</t>
  </si>
  <si>
    <t>Practice</t>
  </si>
  <si>
    <t>00-00 Listsize</t>
  </si>
  <si>
    <t>1.0 {SDLR01} NHS Health Checks offered 2021-2022</t>
  </si>
  <si>
    <t>1.1 {SDLR01a} Excluding ineligible NHS Health Check (SDLR)</t>
  </si>
  <si>
    <t>1.2 {SDLR01-Q1} NHS Health Checks offered</t>
  </si>
  <si>
    <t>1.3 {SDLR01-Q2} NHS Health Checks offered</t>
  </si>
  <si>
    <t>1.4 {SDLR01-Q3} NHS Health Checks offered</t>
  </si>
  <si>
    <t>2.0 {SDLR02 NHS Health Checks done 2021-2022</t>
  </si>
  <si>
    <t>2.1 {SDLR02a} Excluding ineligible NHS Health Check (SDLR)</t>
  </si>
  <si>
    <t>2.2 {SDLR02-Q1} NHS Health Checks done</t>
  </si>
  <si>
    <t>2.3 {SDLR02-Q2} NHS Health Checks done</t>
  </si>
  <si>
    <t>2.4 {SDLR02-Q3} NHS Health Checks done</t>
  </si>
  <si>
    <t>3.0 {SDLR03} Patients Aged 40-74</t>
  </si>
  <si>
    <t>3.1 {SDLR03a} Excl DM, IHD, Stroke TIA, HyperT, PAD, FH, CKD, AF, HF, Statins</t>
  </si>
  <si>
    <t>3.2 {SDLR03TEP} Current eligible TEP</t>
  </si>
  <si>
    <t>Dr Oraelosi and Partners</t>
  </si>
  <si>
    <t>Forest Surgery</t>
  </si>
  <si>
    <t>Handsworth Medical Practice</t>
  </si>
  <si>
    <t>Leyton Healthcare</t>
  </si>
  <si>
    <t>{SDLR01} NHS Health Checks offered 2022-2023</t>
  </si>
  <si>
    <t>{SDLR02} NHS Health Checks done 2022-2023</t>
  </si>
  <si>
    <t>Custom.Registered practice</t>
  </si>
  <si>
    <t>00-00 Listsize (CEG Dashboards   PHOF NHS Health check WF PH).csv</t>
  </si>
  <si>
    <t>1.0 {SDLR01} NHS Health Checks offered 2022-2023 (CEG Dashboards   PHOF NHS Health check WF PH).csv</t>
  </si>
  <si>
    <t>1.1 {SDLR01a} Excluding ineligible NHS Health Check (SDLR) (CEG Dashboards   PHOF NHS Health check WF PH).csv</t>
  </si>
  <si>
    <t>1.2 {SDLR01-Q1} NHS Health Checks offered (CEG Dashboards   PHOF NHS Health check WF PH).csv</t>
  </si>
  <si>
    <t>2.0 {SDLR02 NHS Health Checks done 2021-2022 (CEG Dashboards   PHOF NHS Health check WF PH).csv</t>
  </si>
  <si>
    <t>2.1 {SDLR02a} Excluding ineligible NHS Health Check (SDLR) (CEG Dashboards   PHOF NHS Health check WF PH).csv</t>
  </si>
  <si>
    <t>3.0 {SDLR03} Patients Aged 40-74 (CEG Dashboards   PHOF NHS Health check WF PH).csv</t>
  </si>
  <si>
    <t>3.1 {SDLR03a} Excl DM, IHD, Stroke TIA, HyperT, PAD, FH, CKD, AF, HF, Statins (CEG Dashboards   PHOF NHS Health check WF PH).csv</t>
  </si>
  <si>
    <t>3.2 {SDLR03TEP} Current eligible TEP (CEG Dashboards   PHOF NHS Health check WF PH).csv</t>
  </si>
  <si>
    <t>2.2 {SDLR02-Q1} NHS Health Checks done (CEG Dashboards   PHOF NHS Health check WF PH).csv</t>
  </si>
  <si>
    <t>PHOF Fednet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</si>
</sst>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22"/>
      <color theme="1"/>
      <name val="Calibri"/>
      <family val="2"/>
      <scheme val="minor"/>
    </font>
    <font>
      <sz val="11"/>
      <color theme="3" tint="0.3999755851924192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name val="Calibri"/>
      <family val="2"/>
      <scheme val="minor"/>
    </font>
    <font>
      <sz val="10"/>
      <name val="Arial"/>
      <family val="2"/>
    </font>
    <font>
      <sz val="11"/>
      <color theme="1"/>
      <name val="Calibri"/>
      <family val="2"/>
      <scheme val="minor"/>
    </font>
    <font>
      <sz val="11"/>
      <color theme="8"/>
      <name val="Calibri"/>
      <family val="2"/>
      <scheme val="minor"/>
    </font>
    <font>
      <sz val="11"/>
      <name val="Calibri"/>
      <family val="2"/>
      <scheme val="minor"/>
    </font>
    <font>
      <sz val="11"/>
      <color theme="4" tint="-0.249977111117893"/>
      <name val="Calibri"/>
      <family val="2"/>
      <scheme val="minor"/>
    </font>
    <font>
      <b/>
      <i/>
      <sz val="11"/>
      <color theme="4" tint="0.59999389629810485"/>
      <name val="Calibri"/>
      <family val="2"/>
      <scheme val="minor"/>
    </font>
    <font>
      <i/>
      <sz val="11"/>
      <color theme="4" tint="0.59999389629810485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1"/>
      <color theme="7" tint="-0.249977111117893"/>
      <name val="Calibri"/>
      <family val="2"/>
      <scheme val="minor"/>
    </font>
    <font>
      <sz val="11"/>
      <color theme="0"/>
      <name val="Calibri"/>
      <family val="2"/>
      <scheme val="minor"/>
    </font>
    <font>
      <sz val="20"/>
      <color theme="0"/>
      <name val="Calibri"/>
      <family val="2"/>
      <scheme val="minor"/>
    </font>
    <font>
      <b/>
      <sz val="20"/>
      <color theme="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2"/>
      <color rgb="FFFF0000"/>
      <name val="Calibri"/>
      <family val="2"/>
      <scheme val="minor"/>
    </font>
    <font>
      <sz val="11"/>
      <color rgb="FF000000"/>
      <name val="Calibri"/>
      <family val="2"/>
    </font>
    <font>
      <sz val="10"/>
      <color theme="1"/>
      <name val="Calibri"/>
      <family val="2"/>
      <scheme val="minor"/>
    </font>
    <font>
      <b/>
      <sz val="11"/>
      <color rgb="FF002060"/>
      <name val="Calibri"/>
      <family val="2"/>
      <scheme val="minor"/>
    </font>
    <font>
      <b/>
      <sz val="11"/>
      <color theme="1" tint="0.249977111117893"/>
      <name val="Calibri"/>
      <family val="2"/>
      <scheme val="minor"/>
    </font>
    <font>
      <sz val="9"/>
      <color theme="1"/>
      <name val="Calibri"/>
      <family val="2"/>
      <scheme val="minor"/>
    </font>
    <font>
      <sz val="11"/>
      <color rgb="FF000000"/>
      <name val="Arial"/>
      <family val="2"/>
    </font>
    <font>
      <sz val="8"/>
      <name val="Calibri"/>
      <family val="2"/>
      <scheme val="minor"/>
    </font>
  </fonts>
  <fills count="20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rgb="FFF5F5F5"/>
        <bgColor indexed="64"/>
      </patternFill>
    </fill>
    <fill>
      <patternFill patternType="solid">
        <fgColor rgb="FFEAEAEA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9"/>
        <bgColor theme="9"/>
      </patternFill>
    </fill>
    <fill>
      <patternFill patternType="solid">
        <fgColor theme="9" tint="0.79998168889431442"/>
        <bgColor theme="9" tint="0.79998168889431442"/>
      </patternFill>
    </fill>
  </fills>
  <borders count="63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4" tint="-0.249977111117893"/>
      </right>
      <top/>
      <bottom/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4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ck">
        <color rgb="FF7030A0"/>
      </left>
      <right/>
      <top style="thick">
        <color rgb="FF7030A0"/>
      </top>
      <bottom/>
      <diagonal/>
    </border>
    <border>
      <left/>
      <right/>
      <top style="thick">
        <color rgb="FF7030A0"/>
      </top>
      <bottom/>
      <diagonal/>
    </border>
    <border>
      <left/>
      <right style="thick">
        <color rgb="FF7030A0"/>
      </right>
      <top style="thick">
        <color rgb="FF7030A0"/>
      </top>
      <bottom/>
      <diagonal/>
    </border>
    <border>
      <left style="thick">
        <color rgb="FF7030A0"/>
      </left>
      <right/>
      <top/>
      <bottom/>
      <diagonal/>
    </border>
    <border>
      <left/>
      <right style="thick">
        <color rgb="FF7030A0"/>
      </right>
      <top/>
      <bottom/>
      <diagonal/>
    </border>
    <border>
      <left style="thick">
        <color rgb="FF7030A0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ck">
        <color rgb="FF7030A0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 style="thick">
        <color rgb="FF7030A0"/>
      </right>
      <top style="thin">
        <color theme="0" tint="-0.249977111117893"/>
      </top>
      <bottom style="thin">
        <color theme="0" tint="-0.249977111117893"/>
      </bottom>
      <diagonal/>
    </border>
    <border>
      <left style="thick">
        <color rgb="FF7030A0"/>
      </left>
      <right/>
      <top/>
      <bottom style="thick">
        <color rgb="FF7030A0"/>
      </bottom>
      <diagonal/>
    </border>
    <border>
      <left/>
      <right/>
      <top/>
      <bottom style="thick">
        <color rgb="FF7030A0"/>
      </bottom>
      <diagonal/>
    </border>
    <border>
      <left/>
      <right style="thick">
        <color rgb="FF7030A0"/>
      </right>
      <top/>
      <bottom style="thick">
        <color rgb="FF7030A0"/>
      </bottom>
      <diagonal/>
    </border>
    <border>
      <left style="thick">
        <color rgb="FF7030A0"/>
      </left>
      <right style="thin">
        <color theme="0" tint="-0.34998626667073579"/>
      </right>
      <top style="thin">
        <color indexed="64"/>
      </top>
      <bottom/>
      <diagonal/>
    </border>
    <border>
      <left/>
      <right style="thin">
        <color theme="4" tint="-0.249977111117893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ck">
        <color rgb="FF7030A0"/>
      </left>
      <right style="thin">
        <color theme="0" tint="-0.34998626667073579"/>
      </right>
      <top style="medium">
        <color rgb="FF7030A0"/>
      </top>
      <bottom style="thin">
        <color indexed="64"/>
      </bottom>
      <diagonal/>
    </border>
    <border>
      <left/>
      <right style="thin">
        <color theme="4" tint="-0.249977111117893"/>
      </right>
      <top style="medium">
        <color rgb="FF7030A0"/>
      </top>
      <bottom style="thin">
        <color indexed="64"/>
      </bottom>
      <diagonal/>
    </border>
    <border>
      <left/>
      <right/>
      <top style="medium">
        <color rgb="FF7030A0"/>
      </top>
      <bottom style="thin">
        <color indexed="64"/>
      </bottom>
      <diagonal/>
    </border>
    <border>
      <left/>
      <right/>
      <top style="medium">
        <color rgb="FF7030A0"/>
      </top>
      <bottom/>
      <diagonal/>
    </border>
    <border>
      <left/>
      <right style="thick">
        <color rgb="FF7030A0"/>
      </right>
      <top style="medium">
        <color rgb="FF7030A0"/>
      </top>
      <bottom/>
      <diagonal/>
    </border>
    <border>
      <left style="thick">
        <color rgb="FF7030A0"/>
      </left>
      <right style="thin">
        <color theme="0" tint="-0.34998626667073579"/>
      </right>
      <top/>
      <bottom style="medium">
        <color rgb="FF7030A0"/>
      </bottom>
      <diagonal/>
    </border>
    <border>
      <left/>
      <right style="thin">
        <color theme="4" tint="-0.249977111117893"/>
      </right>
      <top/>
      <bottom style="medium">
        <color rgb="FF7030A0"/>
      </bottom>
      <diagonal/>
    </border>
    <border>
      <left/>
      <right/>
      <top/>
      <bottom style="medium">
        <color rgb="FF7030A0"/>
      </bottom>
      <diagonal/>
    </border>
    <border>
      <left/>
      <right style="thick">
        <color rgb="FF7030A0"/>
      </right>
      <top/>
      <bottom style="medium">
        <color rgb="FF7030A0"/>
      </bottom>
      <diagonal/>
    </border>
    <border>
      <left style="thick">
        <color rgb="FF7030A0"/>
      </left>
      <right style="thin">
        <color theme="0" tint="-0.249977111117893"/>
      </right>
      <top/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4" tint="-0.249977111117893"/>
      </right>
      <top/>
      <bottom style="thin">
        <color theme="0" tint="-0.249977111117893"/>
      </bottom>
      <diagonal/>
    </border>
    <border>
      <left/>
      <right style="thin">
        <color theme="0" tint="-0.249977111117893"/>
      </right>
      <top/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/>
      <bottom style="thin">
        <color theme="0" tint="-0.249977111117893"/>
      </bottom>
      <diagonal/>
    </border>
    <border>
      <left style="thin">
        <color theme="0" tint="-0.249977111117893"/>
      </left>
      <right style="thick">
        <color rgb="FF7030A0"/>
      </right>
      <top/>
      <bottom style="thin">
        <color theme="0" tint="-0.249977111117893"/>
      </bottom>
      <diagonal/>
    </border>
    <border>
      <left/>
      <right style="thin">
        <color theme="4" tint="-0.249977111117893"/>
      </right>
      <top/>
      <bottom style="thick">
        <color rgb="FF7030A0"/>
      </bottom>
      <diagonal/>
    </border>
    <border>
      <left/>
      <right style="thin">
        <color theme="8" tint="0.59996337778862885"/>
      </right>
      <top/>
      <bottom/>
      <diagonal/>
    </border>
    <border>
      <left/>
      <right style="medium">
        <color rgb="FF7030A0"/>
      </right>
      <top/>
      <bottom/>
      <diagonal/>
    </border>
    <border>
      <left style="thick">
        <color rgb="FF7030A0"/>
      </left>
      <right style="medium">
        <color rgb="FF7030A0"/>
      </right>
      <top/>
      <bottom style="medium">
        <color rgb="FF7030A0"/>
      </bottom>
      <diagonal/>
    </border>
    <border>
      <left style="medium">
        <color rgb="FF7030A0"/>
      </left>
      <right/>
      <top style="medium">
        <color rgb="FF7030A0"/>
      </top>
      <bottom/>
      <diagonal/>
    </border>
    <border>
      <left/>
      <right style="medium">
        <color rgb="FF7030A0"/>
      </right>
      <top style="medium">
        <color rgb="FF7030A0"/>
      </top>
      <bottom/>
      <diagonal/>
    </border>
    <border>
      <left style="medium">
        <color rgb="FF7030A0"/>
      </left>
      <right/>
      <top/>
      <bottom/>
      <diagonal/>
    </border>
    <border>
      <left style="medium">
        <color rgb="FF7030A0"/>
      </left>
      <right/>
      <top style="double">
        <color rgb="FF7030A0"/>
      </top>
      <bottom style="medium">
        <color rgb="FF7030A0"/>
      </bottom>
      <diagonal/>
    </border>
    <border>
      <left/>
      <right/>
      <top style="double">
        <color rgb="FF7030A0"/>
      </top>
      <bottom style="medium">
        <color rgb="FF7030A0"/>
      </bottom>
      <diagonal/>
    </border>
    <border>
      <left/>
      <right style="medium">
        <color rgb="FF7030A0"/>
      </right>
      <top style="double">
        <color rgb="FF7030A0"/>
      </top>
      <bottom style="medium">
        <color rgb="FF7030A0"/>
      </bottom>
      <diagonal/>
    </border>
    <border>
      <left style="medium">
        <color rgb="FF7030A0"/>
      </left>
      <right style="medium">
        <color rgb="FF7030A0"/>
      </right>
      <top/>
      <bottom style="double">
        <color rgb="FF7030A0"/>
      </bottom>
      <diagonal/>
    </border>
    <border>
      <left/>
      <right style="thick">
        <color rgb="FF7030A0"/>
      </right>
      <top style="double">
        <color rgb="FF7030A0"/>
      </top>
      <bottom style="medium">
        <color rgb="FF7030A0"/>
      </bottom>
      <diagonal/>
    </border>
    <border>
      <left style="thick">
        <color rgb="FF7030A0"/>
      </left>
      <right style="medium">
        <color rgb="FF7030A0"/>
      </right>
      <top style="medium">
        <color rgb="FF7030A0"/>
      </top>
      <bottom style="thin">
        <color rgb="FF7030A0"/>
      </bottom>
      <diagonal/>
    </border>
    <border>
      <left/>
      <right style="thin">
        <color theme="4" tint="-0.249977111117893"/>
      </right>
      <top style="medium">
        <color rgb="FF7030A0"/>
      </top>
      <bottom style="thin">
        <color rgb="FF7030A0"/>
      </bottom>
      <diagonal/>
    </border>
    <border>
      <left/>
      <right/>
      <top style="medium">
        <color rgb="FF7030A0"/>
      </top>
      <bottom style="thin">
        <color rgb="FF7030A0"/>
      </bottom>
      <diagonal/>
    </border>
    <border>
      <left style="medium">
        <color theme="3" tint="-0.24994659260841701"/>
      </left>
      <right style="medium">
        <color theme="3" tint="-0.24994659260841701"/>
      </right>
      <top style="medium">
        <color theme="3" tint="-0.24994659260841701"/>
      </top>
      <bottom style="medium">
        <color theme="3" tint="-0.24994659260841701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ck">
        <color rgb="FF7030A0"/>
      </left>
      <right style="thin">
        <color theme="0" tint="-0.249977111117893"/>
      </right>
      <top/>
      <bottom/>
      <diagonal/>
    </border>
    <border>
      <left/>
      <right/>
      <top style="thin">
        <color theme="9" tint="0.39997558519241921"/>
      </top>
      <bottom style="thin">
        <color theme="9" tint="0.39997558519241921"/>
      </bottom>
      <diagonal/>
    </border>
  </borders>
  <cellStyleXfs count="7">
    <xf numFmtId="0" fontId="0" fillId="0" borderId="0"/>
    <xf numFmtId="0" fontId="6" fillId="0" borderId="0"/>
    <xf numFmtId="0" fontId="6" fillId="0" borderId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0" fontId="6" fillId="0" borderId="0"/>
    <xf numFmtId="9" fontId="7" fillId="0" borderId="0" applyFont="0" applyFill="0" applyBorder="0" applyAlignment="0" applyProtection="0"/>
  </cellStyleXfs>
  <cellXfs count="195">
    <xf numFmtId="0" fontId="0" fillId="0" borderId="0" xfId="0"/>
    <xf numFmtId="0" fontId="1" fillId="0" borderId="0" xfId="0" applyFont="1"/>
    <xf numFmtId="14" fontId="5" fillId="5" borderId="0" xfId="0" applyNumberFormat="1" applyFont="1" applyFill="1" applyAlignment="1">
      <alignment horizontal="left" vertical="center" wrapText="1"/>
    </xf>
    <xf numFmtId="0" fontId="0" fillId="0" borderId="0" xfId="0" applyAlignment="1">
      <alignment wrapText="1"/>
    </xf>
    <xf numFmtId="0" fontId="1" fillId="2" borderId="0" xfId="0" applyFont="1" applyFill="1"/>
    <xf numFmtId="0" fontId="0" fillId="0" borderId="0" xfId="0" applyAlignment="1">
      <alignment vertical="top"/>
    </xf>
    <xf numFmtId="0" fontId="5" fillId="5" borderId="0" xfId="0" applyFont="1" applyFill="1" applyAlignment="1">
      <alignment horizontal="left"/>
    </xf>
    <xf numFmtId="15" fontId="0" fillId="0" borderId="0" xfId="0" applyNumberFormat="1"/>
    <xf numFmtId="22" fontId="0" fillId="0" borderId="0" xfId="0" applyNumberFormat="1"/>
    <xf numFmtId="14" fontId="1" fillId="2" borderId="0" xfId="0" applyNumberFormat="1" applyFont="1" applyFill="1"/>
    <xf numFmtId="0" fontId="0" fillId="2" borderId="0" xfId="0" applyFill="1"/>
    <xf numFmtId="0" fontId="0" fillId="2" borderId="0" xfId="0" applyFill="1" applyAlignment="1">
      <alignment horizontal="center"/>
    </xf>
    <xf numFmtId="0" fontId="0" fillId="0" borderId="1" xfId="0" applyBorder="1"/>
    <xf numFmtId="14" fontId="0" fillId="2" borderId="4" xfId="0" applyNumberFormat="1" applyFill="1" applyBorder="1"/>
    <xf numFmtId="0" fontId="0" fillId="2" borderId="4" xfId="0" applyFill="1" applyBorder="1"/>
    <xf numFmtId="0" fontId="0" fillId="2" borderId="4" xfId="0" applyFill="1" applyBorder="1" applyAlignment="1">
      <alignment horizontal="center"/>
    </xf>
    <xf numFmtId="0" fontId="8" fillId="2" borderId="5" xfId="0" applyFont="1" applyFill="1" applyBorder="1"/>
    <xf numFmtId="14" fontId="0" fillId="2" borderId="6" xfId="0" applyNumberFormat="1" applyFill="1" applyBorder="1" applyAlignment="1">
      <alignment vertical="top" wrapText="1"/>
    </xf>
    <xf numFmtId="0" fontId="0" fillId="2" borderId="7" xfId="0" applyFill="1" applyBorder="1" applyAlignment="1">
      <alignment vertical="top" wrapText="1"/>
    </xf>
    <xf numFmtId="0" fontId="0" fillId="2" borderId="6" xfId="0" applyFill="1" applyBorder="1" applyAlignment="1">
      <alignment vertical="top" wrapText="1"/>
    </xf>
    <xf numFmtId="0" fontId="4" fillId="2" borderId="7" xfId="0" applyFont="1" applyFill="1" applyBorder="1" applyAlignment="1">
      <alignment vertical="top" wrapText="1"/>
    </xf>
    <xf numFmtId="0" fontId="8" fillId="2" borderId="7" xfId="0" applyFont="1" applyFill="1" applyBorder="1" applyAlignment="1">
      <alignment vertical="top" wrapText="1"/>
    </xf>
    <xf numFmtId="0" fontId="0" fillId="0" borderId="0" xfId="0" applyAlignment="1">
      <alignment vertical="top" wrapText="1"/>
    </xf>
    <xf numFmtId="14" fontId="0" fillId="0" borderId="8" xfId="0" applyNumberFormat="1" applyBorder="1"/>
    <xf numFmtId="14" fontId="0" fillId="0" borderId="0" xfId="0" applyNumberFormat="1"/>
    <xf numFmtId="0" fontId="1" fillId="3" borderId="0" xfId="0" applyFont="1" applyFill="1"/>
    <xf numFmtId="0" fontId="1" fillId="3" borderId="0" xfId="0" applyFont="1" applyFill="1" applyAlignment="1">
      <alignment horizontal="left" vertical="center"/>
    </xf>
    <xf numFmtId="0" fontId="5" fillId="3" borderId="0" xfId="0" applyFont="1" applyFill="1"/>
    <xf numFmtId="0" fontId="0" fillId="0" borderId="0" xfId="0" applyAlignment="1">
      <alignment horizontal="left" vertical="center"/>
    </xf>
    <xf numFmtId="0" fontId="9" fillId="0" borderId="1" xfId="0" applyFont="1" applyBorder="1" applyAlignment="1">
      <alignment horizontal="center"/>
    </xf>
    <xf numFmtId="0" fontId="3" fillId="0" borderId="0" xfId="0" applyFont="1" applyAlignment="1">
      <alignment horizontal="center"/>
    </xf>
    <xf numFmtId="0" fontId="10" fillId="3" borderId="0" xfId="0" applyFont="1" applyFill="1"/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9" fillId="7" borderId="2" xfId="0" applyFont="1" applyFill="1" applyBorder="1"/>
    <xf numFmtId="0" fontId="9" fillId="7" borderId="3" xfId="0" applyFont="1" applyFill="1" applyBorder="1"/>
    <xf numFmtId="14" fontId="5" fillId="6" borderId="0" xfId="0" applyNumberFormat="1" applyFont="1" applyFill="1" applyAlignment="1">
      <alignment horizontal="left" vertical="center" wrapText="1"/>
    </xf>
    <xf numFmtId="0" fontId="11" fillId="0" borderId="0" xfId="0" applyFont="1" applyAlignment="1">
      <alignment horizontal="center" vertical="center"/>
    </xf>
    <xf numFmtId="0" fontId="12" fillId="0" borderId="0" xfId="0" applyFont="1" applyAlignment="1">
      <alignment horizontal="center" vertical="top"/>
    </xf>
    <xf numFmtId="0" fontId="0" fillId="0" borderId="9" xfId="0" applyBorder="1" applyAlignment="1">
      <alignment horizontal="right"/>
    </xf>
    <xf numFmtId="9" fontId="0" fillId="0" borderId="9" xfId="6" applyFont="1" applyBorder="1" applyAlignment="1">
      <alignment horizontal="right"/>
    </xf>
    <xf numFmtId="0" fontId="12" fillId="0" borderId="0" xfId="0" applyFont="1" applyAlignment="1">
      <alignment horizontal="center" vertical="center"/>
    </xf>
    <xf numFmtId="0" fontId="0" fillId="0" borderId="11" xfId="0" applyBorder="1" applyAlignment="1">
      <alignment horizontal="right"/>
    </xf>
    <xf numFmtId="0" fontId="0" fillId="0" borderId="12" xfId="0" applyBorder="1" applyAlignment="1">
      <alignment horizontal="right"/>
    </xf>
    <xf numFmtId="0" fontId="1" fillId="0" borderId="12" xfId="0" applyFont="1" applyBorder="1" applyAlignment="1">
      <alignment horizontal="center"/>
    </xf>
    <xf numFmtId="14" fontId="14" fillId="5" borderId="0" xfId="0" applyNumberFormat="1" applyFont="1" applyFill="1" applyAlignment="1">
      <alignment horizontal="left" vertical="center"/>
    </xf>
    <xf numFmtId="14" fontId="14" fillId="6" borderId="0" xfId="0" applyNumberFormat="1" applyFont="1" applyFill="1" applyAlignment="1">
      <alignment horizontal="left" vertical="center"/>
    </xf>
    <xf numFmtId="0" fontId="9" fillId="0" borderId="9" xfId="0" applyFont="1" applyBorder="1" applyAlignment="1">
      <alignment horizontal="right"/>
    </xf>
    <xf numFmtId="0" fontId="1" fillId="0" borderId="4" xfId="0" applyFont="1" applyBorder="1"/>
    <xf numFmtId="0" fontId="0" fillId="0" borderId="4" xfId="0" applyBorder="1"/>
    <xf numFmtId="0" fontId="1" fillId="0" borderId="4" xfId="0" applyFont="1" applyBorder="1" applyAlignment="1">
      <alignment vertical="top"/>
    </xf>
    <xf numFmtId="0" fontId="0" fillId="0" borderId="4" xfId="0" applyBorder="1" applyAlignment="1">
      <alignment wrapText="1"/>
    </xf>
    <xf numFmtId="0" fontId="0" fillId="0" borderId="0" xfId="0" applyAlignment="1">
      <alignment horizontal="left"/>
    </xf>
    <xf numFmtId="0" fontId="12" fillId="0" borderId="0" xfId="0" applyFont="1" applyAlignment="1">
      <alignment horizontal="left" vertical="center"/>
    </xf>
    <xf numFmtId="0" fontId="12" fillId="0" borderId="0" xfId="0" applyFont="1" applyAlignment="1">
      <alignment horizontal="left" vertical="top"/>
    </xf>
    <xf numFmtId="0" fontId="0" fillId="3" borderId="10" xfId="0" applyFill="1" applyBorder="1"/>
    <xf numFmtId="0" fontId="5" fillId="0" borderId="1" xfId="0" applyFont="1" applyBorder="1"/>
    <xf numFmtId="14" fontId="1" fillId="4" borderId="10" xfId="0" applyNumberFormat="1" applyFont="1" applyFill="1" applyBorder="1" applyAlignment="1">
      <alignment horizontal="center" vertical="top" wrapText="1"/>
    </xf>
    <xf numFmtId="0" fontId="13" fillId="0" borderId="13" xfId="0" applyFont="1" applyBorder="1" applyAlignment="1">
      <alignment vertical="center"/>
    </xf>
    <xf numFmtId="0" fontId="0" fillId="0" borderId="14" xfId="0" applyBorder="1"/>
    <xf numFmtId="0" fontId="2" fillId="0" borderId="14" xfId="0" applyFont="1" applyBorder="1" applyAlignment="1">
      <alignment vertical="center"/>
    </xf>
    <xf numFmtId="0" fontId="0" fillId="0" borderId="15" xfId="0" applyBorder="1"/>
    <xf numFmtId="0" fontId="5" fillId="0" borderId="16" xfId="0" applyFont="1" applyBorder="1"/>
    <xf numFmtId="0" fontId="12" fillId="0" borderId="17" xfId="0" applyFont="1" applyBorder="1" applyAlignment="1">
      <alignment horizontal="center" vertical="top"/>
    </xf>
    <xf numFmtId="0" fontId="1" fillId="7" borderId="18" xfId="0" applyFont="1" applyFill="1" applyBorder="1"/>
    <xf numFmtId="0" fontId="1" fillId="3" borderId="0" xfId="0" applyFont="1" applyFill="1" applyAlignment="1">
      <alignment horizontal="center" vertical="top" wrapText="1"/>
    </xf>
    <xf numFmtId="0" fontId="0" fillId="3" borderId="0" xfId="0" applyFill="1"/>
    <xf numFmtId="14" fontId="14" fillId="6" borderId="17" xfId="0" applyNumberFormat="1" applyFont="1" applyFill="1" applyBorder="1" applyAlignment="1">
      <alignment horizontal="left" vertical="center"/>
    </xf>
    <xf numFmtId="0" fontId="1" fillId="0" borderId="19" xfId="0" applyFont="1" applyBorder="1"/>
    <xf numFmtId="0" fontId="0" fillId="0" borderId="20" xfId="0" applyBorder="1" applyAlignment="1">
      <alignment horizontal="right"/>
    </xf>
    <xf numFmtId="0" fontId="1" fillId="0" borderId="17" xfId="0" applyFont="1" applyBorder="1"/>
    <xf numFmtId="0" fontId="0" fillId="8" borderId="0" xfId="0" applyFill="1"/>
    <xf numFmtId="0" fontId="0" fillId="8" borderId="17" xfId="0" applyFill="1" applyBorder="1"/>
    <xf numFmtId="0" fontId="0" fillId="8" borderId="22" xfId="0" applyFill="1" applyBorder="1"/>
    <xf numFmtId="0" fontId="0" fillId="8" borderId="23" xfId="0" applyFill="1" applyBorder="1"/>
    <xf numFmtId="0" fontId="1" fillId="0" borderId="24" xfId="0" applyFont="1" applyBorder="1"/>
    <xf numFmtId="0" fontId="0" fillId="0" borderId="25" xfId="0" applyBorder="1"/>
    <xf numFmtId="0" fontId="1" fillId="0" borderId="26" xfId="0" applyFont="1" applyBorder="1" applyAlignment="1">
      <alignment horizontal="right"/>
    </xf>
    <xf numFmtId="0" fontId="5" fillId="0" borderId="26" xfId="0" applyFont="1" applyBorder="1" applyAlignment="1">
      <alignment horizontal="right"/>
    </xf>
    <xf numFmtId="9" fontId="1" fillId="0" borderId="26" xfId="6" applyFont="1" applyBorder="1" applyAlignment="1">
      <alignment horizontal="right"/>
    </xf>
    <xf numFmtId="0" fontId="1" fillId="0" borderId="25" xfId="0" applyFont="1" applyBorder="1"/>
    <xf numFmtId="0" fontId="1" fillId="0" borderId="27" xfId="0" applyFont="1" applyBorder="1"/>
    <xf numFmtId="9" fontId="9" fillId="0" borderId="29" xfId="6" applyFont="1" applyFill="1" applyBorder="1"/>
    <xf numFmtId="0" fontId="1" fillId="0" borderId="30" xfId="0" applyFont="1" applyBorder="1"/>
    <xf numFmtId="0" fontId="1" fillId="0" borderId="31" xfId="0" applyFont="1" applyBorder="1"/>
    <xf numFmtId="0" fontId="1" fillId="0" borderId="32" xfId="0" applyFont="1" applyBorder="1" applyAlignment="1">
      <alignment horizontal="left"/>
    </xf>
    <xf numFmtId="0" fontId="0" fillId="0" borderId="33" xfId="0" applyBorder="1"/>
    <xf numFmtId="0" fontId="1" fillId="0" borderId="34" xfId="0" applyFont="1" applyBorder="1"/>
    <xf numFmtId="1" fontId="1" fillId="0" borderId="34" xfId="0" applyNumberFormat="1" applyFont="1" applyBorder="1"/>
    <xf numFmtId="9" fontId="1" fillId="0" borderId="34" xfId="6" applyFont="1" applyBorder="1"/>
    <xf numFmtId="0" fontId="0" fillId="0" borderId="34" xfId="0" applyBorder="1"/>
    <xf numFmtId="0" fontId="0" fillId="0" borderId="35" xfId="0" applyBorder="1"/>
    <xf numFmtId="0" fontId="16" fillId="8" borderId="0" xfId="0" applyFont="1" applyFill="1"/>
    <xf numFmtId="0" fontId="15" fillId="8" borderId="0" xfId="0" applyFont="1" applyFill="1"/>
    <xf numFmtId="0" fontId="17" fillId="8" borderId="0" xfId="0" applyFont="1" applyFill="1"/>
    <xf numFmtId="0" fontId="1" fillId="0" borderId="36" xfId="0" applyFont="1" applyBorder="1"/>
    <xf numFmtId="0" fontId="1" fillId="0" borderId="37" xfId="0" applyFont="1" applyBorder="1" applyAlignment="1">
      <alignment horizontal="center"/>
    </xf>
    <xf numFmtId="0" fontId="0" fillId="0" borderId="38" xfId="0" applyBorder="1" applyAlignment="1">
      <alignment horizontal="right"/>
    </xf>
    <xf numFmtId="0" fontId="9" fillId="0" borderId="39" xfId="0" applyFont="1" applyBorder="1" applyAlignment="1">
      <alignment horizontal="right"/>
    </xf>
    <xf numFmtId="9" fontId="0" fillId="0" borderId="39" xfId="6" applyFont="1" applyBorder="1" applyAlignment="1">
      <alignment horizontal="right"/>
    </xf>
    <xf numFmtId="0" fontId="0" fillId="0" borderId="37" xfId="0" applyBorder="1" applyAlignment="1">
      <alignment horizontal="right"/>
    </xf>
    <xf numFmtId="0" fontId="0" fillId="0" borderId="39" xfId="0" applyBorder="1" applyAlignment="1">
      <alignment horizontal="right"/>
    </xf>
    <xf numFmtId="0" fontId="0" fillId="0" borderId="40" xfId="0" applyBorder="1" applyAlignment="1">
      <alignment horizontal="right"/>
    </xf>
    <xf numFmtId="0" fontId="1" fillId="4" borderId="21" xfId="0" applyFont="1" applyFill="1" applyBorder="1" applyAlignment="1">
      <alignment horizontal="center" vertical="top"/>
    </xf>
    <xf numFmtId="0" fontId="1" fillId="4" borderId="41" xfId="0" applyFont="1" applyFill="1" applyBorder="1" applyAlignment="1">
      <alignment horizontal="center" vertical="top" wrapText="1"/>
    </xf>
    <xf numFmtId="0" fontId="1" fillId="3" borderId="22" xfId="0" applyFont="1" applyFill="1" applyBorder="1" applyAlignment="1">
      <alignment horizontal="center" vertical="top" wrapText="1"/>
    </xf>
    <xf numFmtId="0" fontId="1" fillId="3" borderId="41" xfId="0" applyFont="1" applyFill="1" applyBorder="1" applyAlignment="1">
      <alignment horizontal="center" vertical="top" wrapText="1"/>
    </xf>
    <xf numFmtId="14" fontId="5" fillId="4" borderId="22" xfId="0" applyNumberFormat="1" applyFont="1" applyFill="1" applyBorder="1" applyAlignment="1">
      <alignment horizontal="center" vertical="top" wrapText="1"/>
    </xf>
    <xf numFmtId="14" fontId="5" fillId="3" borderId="22" xfId="0" applyNumberFormat="1" applyFont="1" applyFill="1" applyBorder="1" applyAlignment="1">
      <alignment horizontal="center" vertical="top" wrapText="1"/>
    </xf>
    <xf numFmtId="14" fontId="5" fillId="3" borderId="23" xfId="0" applyNumberFormat="1" applyFont="1" applyFill="1" applyBorder="1" applyAlignment="1">
      <alignment horizontal="center" vertical="top" wrapText="1"/>
    </xf>
    <xf numFmtId="0" fontId="18" fillId="8" borderId="16" xfId="0" applyFont="1" applyFill="1" applyBorder="1" applyAlignment="1">
      <alignment horizontal="right"/>
    </xf>
    <xf numFmtId="14" fontId="18" fillId="8" borderId="0" xfId="0" applyNumberFormat="1" applyFont="1" applyFill="1"/>
    <xf numFmtId="0" fontId="18" fillId="8" borderId="0" xfId="0" applyFont="1" applyFill="1"/>
    <xf numFmtId="1" fontId="0" fillId="0" borderId="28" xfId="0" applyNumberFormat="1" applyBorder="1"/>
    <xf numFmtId="0" fontId="19" fillId="8" borderId="21" xfId="0" applyFont="1" applyFill="1" applyBorder="1"/>
    <xf numFmtId="0" fontId="19" fillId="8" borderId="22" xfId="0" applyFont="1" applyFill="1" applyBorder="1"/>
    <xf numFmtId="0" fontId="1" fillId="5" borderId="0" xfId="0" applyFont="1" applyFill="1" applyAlignment="1">
      <alignment vertical="top" wrapText="1"/>
    </xf>
    <xf numFmtId="0" fontId="20" fillId="0" borderId="0" xfId="0" applyFont="1" applyAlignment="1">
      <alignment vertical="center" wrapText="1"/>
    </xf>
    <xf numFmtId="0" fontId="20" fillId="0" borderId="0" xfId="0" applyFont="1" applyAlignment="1">
      <alignment vertical="center"/>
    </xf>
    <xf numFmtId="0" fontId="21" fillId="9" borderId="42" xfId="0" applyFont="1" applyFill="1" applyBorder="1"/>
    <xf numFmtId="0" fontId="21" fillId="9" borderId="0" xfId="0" applyFont="1" applyFill="1"/>
    <xf numFmtId="0" fontId="0" fillId="10" borderId="0" xfId="0" applyFill="1"/>
    <xf numFmtId="14" fontId="0" fillId="2" borderId="7" xfId="0" applyNumberFormat="1" applyFill="1" applyBorder="1" applyAlignment="1">
      <alignment vertical="top" wrapText="1"/>
    </xf>
    <xf numFmtId="0" fontId="9" fillId="7" borderId="0" xfId="0" applyFont="1" applyFill="1"/>
    <xf numFmtId="0" fontId="0" fillId="11" borderId="0" xfId="0" applyFill="1" applyAlignment="1">
      <alignment vertical="center"/>
    </xf>
    <xf numFmtId="0" fontId="0" fillId="13" borderId="0" xfId="0" applyFill="1" applyAlignment="1">
      <alignment vertical="center"/>
    </xf>
    <xf numFmtId="9" fontId="0" fillId="13" borderId="0" xfId="6" applyFont="1" applyFill="1" applyBorder="1" applyAlignment="1">
      <alignment vertical="center"/>
    </xf>
    <xf numFmtId="0" fontId="0" fillId="14" borderId="33" xfId="0" applyFill="1" applyBorder="1"/>
    <xf numFmtId="0" fontId="1" fillId="14" borderId="34" xfId="0" applyFont="1" applyFill="1" applyBorder="1"/>
    <xf numFmtId="1" fontId="1" fillId="14" borderId="34" xfId="0" applyNumberFormat="1" applyFont="1" applyFill="1" applyBorder="1"/>
    <xf numFmtId="9" fontId="1" fillId="14" borderId="34" xfId="6" applyFont="1" applyFill="1" applyBorder="1"/>
    <xf numFmtId="0" fontId="1" fillId="14" borderId="33" xfId="0" applyFont="1" applyFill="1" applyBorder="1"/>
    <xf numFmtId="9" fontId="0" fillId="0" borderId="0" xfId="6" applyFont="1"/>
    <xf numFmtId="0" fontId="0" fillId="15" borderId="0" xfId="0" applyFill="1"/>
    <xf numFmtId="0" fontId="12" fillId="15" borderId="0" xfId="0" applyFont="1" applyFill="1" applyAlignment="1">
      <alignment horizontal="center" vertical="center"/>
    </xf>
    <xf numFmtId="0" fontId="11" fillId="15" borderId="0" xfId="0" applyFont="1" applyFill="1" applyAlignment="1">
      <alignment horizontal="center" vertical="center"/>
    </xf>
    <xf numFmtId="0" fontId="12" fillId="15" borderId="0" xfId="0" applyFont="1" applyFill="1" applyAlignment="1">
      <alignment horizontal="center" vertical="top"/>
    </xf>
    <xf numFmtId="0" fontId="22" fillId="15" borderId="0" xfId="0" applyFont="1" applyFill="1"/>
    <xf numFmtId="0" fontId="22" fillId="15" borderId="0" xfId="0" applyFont="1" applyFill="1" applyAlignment="1">
      <alignment horizontal="center"/>
    </xf>
    <xf numFmtId="0" fontId="23" fillId="3" borderId="0" xfId="0" applyFont="1" applyFill="1" applyAlignment="1">
      <alignment horizontal="center" vertical="top" wrapText="1"/>
    </xf>
    <xf numFmtId="14" fontId="23" fillId="4" borderId="22" xfId="0" applyNumberFormat="1" applyFont="1" applyFill="1" applyBorder="1" applyAlignment="1">
      <alignment horizontal="center" vertical="top" wrapText="1"/>
    </xf>
    <xf numFmtId="14" fontId="23" fillId="3" borderId="22" xfId="0" applyNumberFormat="1" applyFont="1" applyFill="1" applyBorder="1" applyAlignment="1">
      <alignment horizontal="center" vertical="top" wrapText="1"/>
    </xf>
    <xf numFmtId="14" fontId="23" fillId="3" borderId="23" xfId="0" applyNumberFormat="1" applyFont="1" applyFill="1" applyBorder="1" applyAlignment="1">
      <alignment horizontal="center" vertical="top" wrapText="1"/>
    </xf>
    <xf numFmtId="0" fontId="23" fillId="11" borderId="43" xfId="0" applyFont="1" applyFill="1" applyBorder="1"/>
    <xf numFmtId="0" fontId="23" fillId="12" borderId="43" xfId="0" applyFont="1" applyFill="1" applyBorder="1"/>
    <xf numFmtId="0" fontId="23" fillId="14" borderId="44" xfId="0" applyFont="1" applyFill="1" applyBorder="1" applyAlignment="1">
      <alignment horizontal="left"/>
    </xf>
    <xf numFmtId="0" fontId="0" fillId="16" borderId="0" xfId="0" applyFill="1"/>
    <xf numFmtId="0" fontId="0" fillId="11" borderId="45" xfId="0" applyFill="1" applyBorder="1" applyAlignment="1">
      <alignment vertical="center"/>
    </xf>
    <xf numFmtId="0" fontId="0" fillId="11" borderId="30" xfId="0" applyFill="1" applyBorder="1" applyAlignment="1">
      <alignment vertical="center"/>
    </xf>
    <xf numFmtId="9" fontId="0" fillId="11" borderId="30" xfId="6" applyFont="1" applyFill="1" applyBorder="1" applyAlignment="1">
      <alignment vertical="center"/>
    </xf>
    <xf numFmtId="0" fontId="0" fillId="11" borderId="46" xfId="0" applyFill="1" applyBorder="1" applyAlignment="1">
      <alignment vertical="center"/>
    </xf>
    <xf numFmtId="0" fontId="0" fillId="13" borderId="47" xfId="0" applyFill="1" applyBorder="1" applyAlignment="1">
      <alignment vertical="center"/>
    </xf>
    <xf numFmtId="0" fontId="0" fillId="13" borderId="43" xfId="0" applyFill="1" applyBorder="1" applyAlignment="1">
      <alignment vertical="center"/>
    </xf>
    <xf numFmtId="0" fontId="22" fillId="11" borderId="0" xfId="0" applyFont="1" applyFill="1"/>
    <xf numFmtId="0" fontId="23" fillId="13" borderId="0" xfId="0" applyFont="1" applyFill="1"/>
    <xf numFmtId="0" fontId="22" fillId="12" borderId="48" xfId="0" applyFont="1" applyFill="1" applyBorder="1"/>
    <xf numFmtId="0" fontId="22" fillId="13" borderId="51" xfId="0" applyFont="1" applyFill="1" applyBorder="1"/>
    <xf numFmtId="0" fontId="1" fillId="13" borderId="48" xfId="0" applyFont="1" applyFill="1" applyBorder="1" applyAlignment="1">
      <alignment vertical="center"/>
    </xf>
    <xf numFmtId="0" fontId="1" fillId="13" borderId="49" xfId="0" applyFont="1" applyFill="1" applyBorder="1" applyAlignment="1">
      <alignment vertical="center"/>
    </xf>
    <xf numFmtId="9" fontId="1" fillId="13" borderId="49" xfId="6" applyFont="1" applyFill="1" applyBorder="1" applyAlignment="1">
      <alignment vertical="center"/>
    </xf>
    <xf numFmtId="0" fontId="1" fillId="13" borderId="50" xfId="0" applyFont="1" applyFill="1" applyBorder="1" applyAlignment="1">
      <alignment vertical="center"/>
    </xf>
    <xf numFmtId="0" fontId="13" fillId="10" borderId="13" xfId="0" applyFont="1" applyFill="1" applyBorder="1" applyAlignment="1">
      <alignment vertical="center"/>
    </xf>
    <xf numFmtId="0" fontId="0" fillId="10" borderId="14" xfId="0" applyFill="1" applyBorder="1"/>
    <xf numFmtId="0" fontId="2" fillId="10" borderId="14" xfId="0" applyFont="1" applyFill="1" applyBorder="1" applyAlignment="1">
      <alignment vertical="center"/>
    </xf>
    <xf numFmtId="0" fontId="0" fillId="11" borderId="15" xfId="0" applyFill="1" applyBorder="1" applyAlignment="1">
      <alignment vertical="center"/>
    </xf>
    <xf numFmtId="0" fontId="0" fillId="13" borderId="17" xfId="0" applyFill="1" applyBorder="1" applyAlignment="1">
      <alignment vertical="center"/>
    </xf>
    <xf numFmtId="0" fontId="1" fillId="13" borderId="52" xfId="0" applyFont="1" applyFill="1" applyBorder="1" applyAlignment="1">
      <alignment vertical="center"/>
    </xf>
    <xf numFmtId="0" fontId="23" fillId="14" borderId="53" xfId="0" applyFont="1" applyFill="1" applyBorder="1"/>
    <xf numFmtId="0" fontId="0" fillId="14" borderId="54" xfId="0" applyFill="1" applyBorder="1" applyAlignment="1">
      <alignment horizontal="center" vertical="center"/>
    </xf>
    <xf numFmtId="0" fontId="0" fillId="14" borderId="55" xfId="0" applyFill="1" applyBorder="1"/>
    <xf numFmtId="1" fontId="9" fillId="14" borderId="55" xfId="6" applyNumberFormat="1" applyFont="1" applyFill="1" applyBorder="1"/>
    <xf numFmtId="9" fontId="9" fillId="14" borderId="55" xfId="6" applyFont="1" applyFill="1" applyBorder="1"/>
    <xf numFmtId="1" fontId="0" fillId="14" borderId="54" xfId="0" applyNumberFormat="1" applyFill="1" applyBorder="1"/>
    <xf numFmtId="0" fontId="23" fillId="3" borderId="34" xfId="0" applyFont="1" applyFill="1" applyBorder="1" applyAlignment="1">
      <alignment horizontal="center" vertical="top" wrapText="1"/>
    </xf>
    <xf numFmtId="14" fontId="22" fillId="15" borderId="56" xfId="0" applyNumberFormat="1" applyFont="1" applyFill="1" applyBorder="1"/>
    <xf numFmtId="0" fontId="24" fillId="10" borderId="0" xfId="0" applyFont="1" applyFill="1" applyAlignment="1">
      <alignment horizontal="right"/>
    </xf>
    <xf numFmtId="0" fontId="24" fillId="10" borderId="0" xfId="0" applyFont="1" applyFill="1"/>
    <xf numFmtId="0" fontId="21" fillId="10" borderId="0" xfId="0" applyFont="1" applyFill="1"/>
    <xf numFmtId="0" fontId="0" fillId="17" borderId="0" xfId="0" applyFill="1"/>
    <xf numFmtId="0" fontId="0" fillId="0" borderId="57" xfId="0" applyBorder="1"/>
    <xf numFmtId="0" fontId="0" fillId="0" borderId="58" xfId="0" applyBorder="1"/>
    <xf numFmtId="0" fontId="0" fillId="0" borderId="59" xfId="0" applyBorder="1"/>
    <xf numFmtId="0" fontId="25" fillId="0" borderId="60" xfId="0" applyFont="1" applyBorder="1" applyAlignment="1">
      <alignment wrapText="1"/>
    </xf>
    <xf numFmtId="3" fontId="25" fillId="0" borderId="60" xfId="0" applyNumberFormat="1" applyFont="1" applyBorder="1" applyAlignment="1">
      <alignment wrapText="1"/>
    </xf>
    <xf numFmtId="1" fontId="1" fillId="0" borderId="33" xfId="0" applyNumberFormat="1" applyFont="1" applyBorder="1"/>
    <xf numFmtId="0" fontId="24" fillId="0" borderId="0" xfId="0" applyFont="1"/>
    <xf numFmtId="0" fontId="1" fillId="0" borderId="61" xfId="0" applyFont="1" applyBorder="1"/>
    <xf numFmtId="0" fontId="5" fillId="17" borderId="1" xfId="0" applyFont="1" applyFill="1" applyBorder="1"/>
    <xf numFmtId="0" fontId="8" fillId="17" borderId="5" xfId="0" applyFont="1" applyFill="1" applyBorder="1"/>
    <xf numFmtId="0" fontId="8" fillId="17" borderId="7" xfId="0" applyFont="1" applyFill="1" applyBorder="1" applyAlignment="1">
      <alignment vertical="top" wrapText="1"/>
    </xf>
    <xf numFmtId="1" fontId="0" fillId="0" borderId="0" xfId="0" applyNumberFormat="1" applyAlignment="1">
      <alignment horizontal="right"/>
    </xf>
    <xf numFmtId="1" fontId="0" fillId="17" borderId="0" xfId="0" applyNumberFormat="1" applyFill="1" applyAlignment="1">
      <alignment horizontal="right"/>
    </xf>
    <xf numFmtId="0" fontId="18" fillId="18" borderId="62" xfId="0" applyFont="1" applyFill="1" applyBorder="1"/>
    <xf numFmtId="0" fontId="0" fillId="19" borderId="62" xfId="0" applyFill="1" applyBorder="1"/>
    <xf numFmtId="0" fontId="0" fillId="0" borderId="62" xfId="0" applyBorder="1"/>
  </cellXfs>
  <cellStyles count="7">
    <cellStyle name="Normal" xfId="0" builtinId="0"/>
    <cellStyle name="Normal 2" xfId="1" xr:uid="{00000000-0005-0000-0000-000001000000}"/>
    <cellStyle name="Normal 3" xfId="2" xr:uid="{00000000-0005-0000-0000-000002000000}"/>
    <cellStyle name="Normal 4" xfId="5" xr:uid="{00000000-0005-0000-0000-000003000000}"/>
    <cellStyle name="Percent" xfId="6" builtinId="5"/>
    <cellStyle name="Percent 2" xfId="3" xr:uid="{00000000-0005-0000-0000-000005000000}"/>
    <cellStyle name="Percent 3" xfId="4" xr:uid="{00000000-0005-0000-0000-000006000000}"/>
  </cellStyles>
  <dxfs count="43"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19" formatCode="dd/mm/yyyy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19" formatCode="dd/mm/yyyy"/>
    </dxf>
    <dxf>
      <numFmt numFmtId="19" formatCode="dd/mm/yyyy"/>
    </dxf>
  </dxfs>
  <tableStyles count="0" defaultTableStyle="TableStyleMedium2" defaultPivotStyle="PivotStyleMedium9"/>
  <colors>
    <mruColors>
      <color rgb="FFEAEAEA"/>
      <color rgb="FFF5F5F5"/>
      <color rgb="FFFF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18" Type="http://schemas.openxmlformats.org/officeDocument/2006/relationships/customXml" Target="../customXml/item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onnections" Target="connections.xml"/><Relationship Id="rId1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1.xml"/><Relationship Id="rId20" Type="http://schemas.openxmlformats.org/officeDocument/2006/relationships/customXml" Target="../customXml/item5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customXml" Target="../customXml/item4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47624</xdr:colOff>
      <xdr:row>9</xdr:row>
      <xdr:rowOff>57150</xdr:rowOff>
    </xdr:from>
    <xdr:to>
      <xdr:col>5</xdr:col>
      <xdr:colOff>1095374</xdr:colOff>
      <xdr:row>10</xdr:row>
      <xdr:rowOff>123825</xdr:rowOff>
    </xdr:to>
    <xdr:sp macro="" textlink="">
      <xdr:nvSpPr>
        <xdr:cNvPr id="4" name="Right Brac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/>
      </xdr:nvSpPr>
      <xdr:spPr>
        <a:xfrm rot="5400000">
          <a:off x="7724774" y="533400"/>
          <a:ext cx="257175" cy="4333875"/>
        </a:xfrm>
        <a:prstGeom prst="rightBrac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twoCellAnchor>
  <xdr:twoCellAnchor>
    <xdr:from>
      <xdr:col>6</xdr:col>
      <xdr:colOff>514349</xdr:colOff>
      <xdr:row>7</xdr:row>
      <xdr:rowOff>66675</xdr:rowOff>
    </xdr:from>
    <xdr:to>
      <xdr:col>13</xdr:col>
      <xdr:colOff>1019174</xdr:colOff>
      <xdr:row>8</xdr:row>
      <xdr:rowOff>133350</xdr:rowOff>
    </xdr:to>
    <xdr:sp macro="" textlink="">
      <xdr:nvSpPr>
        <xdr:cNvPr id="5" name="Right Brace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/>
      </xdr:nvSpPr>
      <xdr:spPr>
        <a:xfrm rot="5400000">
          <a:off x="14492286" y="-1766887"/>
          <a:ext cx="257175" cy="8172450"/>
        </a:xfrm>
        <a:prstGeom prst="rightBrac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twoCellAnchor>
</xdr:wsDr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removeDataOnSave="1" connectionId="2" xr16:uid="{00000000-0016-0000-0800-000000000000}" autoFormatId="0" applyNumberFormats="0" applyBorderFormats="0" applyFontFormats="1" applyPatternFormats="1" applyAlignmentFormats="0" applyWidthHeightFormats="0">
  <queryTableRefresh preserveSortFilterLayout="0" nextId="18">
    <queryTableFields count="17">
      <queryTableField id="1" name="Rel_D" tableColumnId="1"/>
      <queryTableField id="2" name="OrgID" tableColumnId="2"/>
      <queryTableField id="3" name="{SDLR01a} Excluding ineligible for NHS Health Check (SDLR)" tableColumnId="3"/>
      <queryTableField id="4" name="{SDLR01} NHS Health Checks offered 2021-2022" tableColumnId="4"/>
      <queryTableField id="5" name="{SDLR02} NHS Health Checks done 2021-2022" tableColumnId="5"/>
      <queryTableField id="6" name="{SDLR03} Current Aged 40-74yrs" tableColumnId="6"/>
      <queryTableField id="7" name="{SDLR01-Q1} NHS Health Checks offered" tableColumnId="7"/>
      <queryTableField id="8" name="{SDLR01-Q2} NHS Health Checks offered" tableColumnId="8"/>
      <queryTableField id="9" name="{SDLR01-Q3} NHS Health Checks offered" tableColumnId="9"/>
      <queryTableField id="10" name="{SDLR01-Q4} NHS Health Checks offered" tableColumnId="10"/>
      <queryTableField id="11" name="{SDLR02a} Excluding ineligible for NHS Health Check (SDLR)" tableColumnId="11"/>
      <queryTableField id="12" name="{SDLR02-Q1} NHS Health Checks done" tableColumnId="12"/>
      <queryTableField id="13" name="{SDLR02-Q2} NHS Health Checks done" tableColumnId="13"/>
      <queryTableField id="14" name="{SDLR02-Q3} NHS Health Checks done" tableColumnId="14"/>
      <queryTableField id="15" name="{SDLR02-Q4} NHS Health Checks done" tableColumnId="15"/>
      <queryTableField id="16" name="{SDLR03a} Excl DM, IHD, Stroke/TIA, HyperT, PAD, FH, CKD, AF, HF,Statins" tableColumnId="16"/>
      <queryTableField id="17" name="{SDLR03TEP} current eligible TEP" tableColumnId="17"/>
    </queryTableFields>
  </queryTableRefresh>
</queryTable>
</file>

<file path=xl/queryTables/queryTable2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connectionId="17" xr16:uid="{00000000-0016-0000-0900-000001000000}" autoFormatId="0" applyNumberFormats="0" applyBorderFormats="0" applyFontFormats="1" applyPatternFormats="1" applyAlignmentFormats="0" applyWidthHeightFormats="0">
  <queryTableRefresh preserveSortFilterLayout="0" nextId="14">
    <queryTableFields count="13">
      <queryTableField id="1" name="Rel_D" tableColumnId="41"/>
      <queryTableField id="2" name="Custom.Registered practice" tableColumnId="42"/>
      <queryTableField id="3" name="OrgID" tableColumnId="43"/>
      <queryTableField id="4" name="00-00 Listsize (CEG Dashboards   PHOF NHS Health check WF PH).csv" tableColumnId="44"/>
      <queryTableField id="5" name="1.0 {SDLR01} NHS Health Checks offered 2022-2023 (CEG Dashboards   PHOF NHS Health check WF PH).csv" tableColumnId="45"/>
      <queryTableField id="6" name="1.1 {SDLR01a} Excluding ineligible NHS Health Check (SDLR) (CEG Dashboards   PHOF NHS Health check WF PH).csv" tableColumnId="46"/>
      <queryTableField id="7" name="1.2 {SDLR01-Q1} NHS Health Checks offered (CEG Dashboards   PHOF NHS Health check WF PH).csv" tableColumnId="47"/>
      <queryTableField id="8" name="2.0 {SDLR02 NHS Health Checks done 2021-2022 (CEG Dashboards   PHOF NHS Health check WF PH).csv" tableColumnId="48"/>
      <queryTableField id="9" name="2.1 {SDLR02a} Excluding ineligible NHS Health Check (SDLR) (CEG Dashboards   PHOF NHS Health check WF PH).csv" tableColumnId="49"/>
      <queryTableField id="10" name="2.2 {SDLR02-Q1} NHS Health Checks done (CEG Dashboards   PHOF NHS Health check WF PH).csv" tableColumnId="50"/>
      <queryTableField id="11" name="3.0 {SDLR03} Patients Aged 40-74 (CEG Dashboards   PHOF NHS Health check WF PH).csv" tableColumnId="51"/>
      <queryTableField id="12" name="3.1 {SDLR03a} Excl DM, IHD, Stroke TIA, HyperT, PAD, FH, CKD, AF, HF, Statins (CEG Dashboards   PHOF NHS Health check WF PH).csv" tableColumnId="52"/>
      <queryTableField id="13" name="3.2 {SDLR03TEP} Current eligible TEP (CEG Dashboards   PHOF NHS Health check WF PH).csv" tableColumnId="53"/>
    </queryTableFields>
  </queryTableRefresh>
</queryTable>
</file>

<file path=xl/tables/_rels/table2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_rels/table3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2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Selection" displayName="Selection" ref="E1:F5" totalsRowShown="0">
  <autoFilter ref="E1:F5" xr:uid="{00000000-0009-0000-0100-000001000000}"/>
  <tableColumns count="2">
    <tableColumn id="1" xr3:uid="{00000000-0010-0000-0000-000001000000}" name="Quarter"/>
    <tableColumn id="2" xr3:uid="{00000000-0010-0000-0000-000002000000}" name="REL_D" dataDxfId="42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1000000}" name="Fednet_data" displayName="Fednet_data" ref="A1:Q6" tableType="queryTable" totalsRowShown="0">
  <autoFilter ref="A1:Q6" xr:uid="{00000000-0009-0000-0100-000002000000}"/>
  <tableColumns count="17">
    <tableColumn id="1" xr3:uid="{00000000-0010-0000-0100-000001000000}" uniqueName="1" name="Rel_D" queryTableFieldId="1" dataDxfId="41"/>
    <tableColumn id="2" xr3:uid="{00000000-0010-0000-0100-000002000000}" uniqueName="2" name="OrgID" queryTableFieldId="2" dataDxfId="40"/>
    <tableColumn id="3" xr3:uid="{00000000-0010-0000-0100-000003000000}" uniqueName="3" name="{SDLR01a} Excluding ineligible for NHS Health Check (SDLR)" queryTableFieldId="3" dataDxfId="39"/>
    <tableColumn id="4" xr3:uid="{00000000-0010-0000-0100-000004000000}" uniqueName="4" name="{SDLR01} NHS Health Checks offered 2022-2023" queryTableFieldId="4" dataDxfId="38"/>
    <tableColumn id="5" xr3:uid="{00000000-0010-0000-0100-000005000000}" uniqueName="5" name="{SDLR02} NHS Health Checks done 2022-2023" queryTableFieldId="5" dataDxfId="37"/>
    <tableColumn id="6" xr3:uid="{00000000-0010-0000-0100-000006000000}" uniqueName="6" name="{SDLR03} Current Aged 40-74yrs" queryTableFieldId="6" dataDxfId="36"/>
    <tableColumn id="7" xr3:uid="{00000000-0010-0000-0100-000007000000}" uniqueName="7" name="{SDLR01-Q1} NHS Health Checks offered" queryTableFieldId="7" dataDxfId="35"/>
    <tableColumn id="8" xr3:uid="{00000000-0010-0000-0100-000008000000}" uniqueName="8" name="{SDLR01-Q2} NHS Health Checks offered" queryTableFieldId="8" dataDxfId="34"/>
    <tableColumn id="9" xr3:uid="{00000000-0010-0000-0100-000009000000}" uniqueName="9" name="{SDLR01-Q3} NHS Health Checks offered" queryTableFieldId="9" dataDxfId="33"/>
    <tableColumn id="10" xr3:uid="{00000000-0010-0000-0100-00000A000000}" uniqueName="10" name="{SDLR01-Q4} NHS Health Checks offered" queryTableFieldId="10" dataDxfId="32"/>
    <tableColumn id="11" xr3:uid="{00000000-0010-0000-0100-00000B000000}" uniqueName="11" name="{SDLR02a} Excluding ineligible for NHS Health Check (SDLR)" queryTableFieldId="11" dataDxfId="31"/>
    <tableColumn id="12" xr3:uid="{00000000-0010-0000-0100-00000C000000}" uniqueName="12" name="{SDLR02-Q1} NHS Health Checks done" queryTableFieldId="12" dataDxfId="30"/>
    <tableColumn id="13" xr3:uid="{00000000-0010-0000-0100-00000D000000}" uniqueName="13" name="{SDLR02-Q2} NHS Health Checks done" queryTableFieldId="13" dataDxfId="29"/>
    <tableColumn id="14" xr3:uid="{00000000-0010-0000-0100-00000E000000}" uniqueName="14" name="{SDLR02-Q3} NHS Health Checks done" queryTableFieldId="14" dataDxfId="28"/>
    <tableColumn id="15" xr3:uid="{00000000-0010-0000-0100-00000F000000}" uniqueName="15" name="{SDLR02-Q4} NHS Health Checks done" queryTableFieldId="15" dataDxfId="27"/>
    <tableColumn id="16" xr3:uid="{00000000-0010-0000-0100-000010000000}" uniqueName="16" name="{SDLR03a} Excl DM, IHD, Stroke/TIA, HyperT, PAD, FH, CKD, AF, HF,Statins" queryTableFieldId="16" dataDxfId="26"/>
    <tableColumn id="17" xr3:uid="{00000000-0010-0000-0100-000011000000}" uniqueName="17" name="{SDLR03TEP} current eligible TEP" queryTableFieldId="17" dataDxfId="25"/>
  </tableColumns>
  <tableStyleInfo name="TableStyleMedium7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00000000-000C-0000-FFFF-FFFF02000000}" name="WF_LD" displayName="WF_LD" ref="I13:U18" tableType="queryTable" totalsRowShown="0">
  <autoFilter ref="I13:U18" xr:uid="{00000000-000C-0000-FFFF-FFFF02000000}"/>
  <sortState xmlns:xlrd2="http://schemas.microsoft.com/office/spreadsheetml/2017/richdata2" ref="I14:AE18">
    <sortCondition ref="I11:I16"/>
  </sortState>
  <tableColumns count="13">
    <tableColumn id="41" xr3:uid="{BDBDB807-A816-43CA-B517-286CCAA857E0}" uniqueName="41" name="Rel_D" queryTableFieldId="1" dataDxfId="24"/>
    <tableColumn id="42" xr3:uid="{7066942F-BB36-4AEC-B2E8-44068C98A0A0}" uniqueName="42" name="Custom.Registered practice" queryTableFieldId="2" dataDxfId="23"/>
    <tableColumn id="43" xr3:uid="{FA2D0DB0-5263-4C8F-9EDA-B099ED918220}" uniqueName="43" name="OrgID" queryTableFieldId="3"/>
    <tableColumn id="44" xr3:uid="{15C081E6-6D81-40D4-99B3-A451DAD7776A}" uniqueName="44" name="00-00 Listsize (CEG Dashboards   PHOF NHS Health check WF PH).csv" queryTableFieldId="4" dataDxfId="22"/>
    <tableColumn id="45" xr3:uid="{BE60C67D-F1E5-4F8F-BA1C-B7DC687712A9}" uniqueName="45" name="1.0 {SDLR01} NHS Health Checks offered 2022-2023 (CEG Dashboards   PHOF NHS Health check WF PH).csv" queryTableFieldId="5" dataDxfId="21"/>
    <tableColumn id="46" xr3:uid="{311E0472-96CD-43C6-822F-18FA334ED145}" uniqueName="46" name="1.1 {SDLR01a} Excluding ineligible NHS Health Check (SDLR) (CEG Dashboards   PHOF NHS Health check WF PH).csv" queryTableFieldId="6" dataDxfId="20"/>
    <tableColumn id="47" xr3:uid="{B22FB5CB-1B48-4BC8-A391-D1C26DD8495A}" uniqueName="47" name="1.2 {SDLR01-Q1} NHS Health Checks offered (CEG Dashboards   PHOF NHS Health check WF PH).csv" queryTableFieldId="7" dataDxfId="19"/>
    <tableColumn id="48" xr3:uid="{60F55ADA-F3E0-4D11-9420-13A016C35FC8}" uniqueName="48" name="2.0 {SDLR02 NHS Health Checks done 2021-2022 (CEG Dashboards   PHOF NHS Health check WF PH).csv" queryTableFieldId="8" dataDxfId="18"/>
    <tableColumn id="49" xr3:uid="{D7C5BB93-F475-4553-A1D3-DAF21A8F0135}" uniqueName="49" name="2.1 {SDLR02a} Excluding ineligible NHS Health Check (SDLR) (CEG Dashboards   PHOF NHS Health check WF PH).csv" queryTableFieldId="9" dataDxfId="17"/>
    <tableColumn id="50" xr3:uid="{404F899E-A59F-4B33-9660-7043242DC1E4}" uniqueName="50" name="2.2 {SDLR02-Q1} NHS Health Checks done (CEG Dashboards   PHOF NHS Health check WF PH).csv" queryTableFieldId="10" dataDxfId="16"/>
    <tableColumn id="51" xr3:uid="{C0DB78BF-17C6-47A3-A82F-1D242EBB0CB9}" uniqueName="51" name="3.0 {SDLR03} Patients Aged 40-74 (CEG Dashboards   PHOF NHS Health check WF PH).csv" queryTableFieldId="11" dataDxfId="15"/>
    <tableColumn id="52" xr3:uid="{D21D81C4-09DE-4E75-9C77-5D34BE0B338D}" uniqueName="52" name="3.1 {SDLR03a} Excl DM, IHD, Stroke TIA, HyperT, PAD, FH, CKD, AF, HF, Statins (CEG Dashboards   PHOF NHS Health check WF PH).csv" queryTableFieldId="12" dataDxfId="14"/>
    <tableColumn id="53" xr3:uid="{D941D3E5-3041-4305-96FF-53A28F2FE4C3}" uniqueName="53" name="3.2 {SDLR03TEP} Current eligible TEP (CEG Dashboards   PHOF NHS Health check WF PH).csv" queryTableFieldId="13" dataDxfId="13"/>
  </tableColumns>
  <tableStyleInfo name="TableStyleMedium7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table" Target="../tables/table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4" tint="0.39997558519241921"/>
  </sheetPr>
  <dimension ref="A1:N15"/>
  <sheetViews>
    <sheetView showGridLines="0" tabSelected="1" workbookViewId="0">
      <selection activeCell="C7" sqref="C7"/>
    </sheetView>
  </sheetViews>
  <sheetFormatPr defaultRowHeight="15" zeroHeight="1" x14ac:dyDescent="0.25"/>
  <cols>
    <col min="1" max="1" width="36.7109375" customWidth="1"/>
    <col min="2" max="2" width="47.85546875" customWidth="1"/>
    <col min="3" max="14" width="16.42578125" customWidth="1"/>
  </cols>
  <sheetData>
    <row r="1" spans="1:14" ht="29.25" thickTop="1" x14ac:dyDescent="0.25">
      <c r="A1" s="161" t="str">
        <f>"Waltham Forest: NHS Health Check - Public Health Outcome Framework (2022-2023 "&amp;A3&amp;")"</f>
        <v>Waltham Forest: NHS Health Check - Public Health Outcome Framework (2022-2023 Quarter 4)</v>
      </c>
      <c r="B1" s="162"/>
      <c r="C1" s="163"/>
      <c r="D1" s="163"/>
      <c r="E1" s="163"/>
      <c r="F1" s="163"/>
      <c r="G1" s="162"/>
      <c r="H1" s="133"/>
      <c r="I1" s="133"/>
      <c r="J1" s="133"/>
      <c r="K1" s="133"/>
      <c r="L1" s="133"/>
      <c r="M1" s="133"/>
      <c r="N1" s="133"/>
    </row>
    <row r="2" spans="1:14" ht="18.75" customHeight="1" thickBot="1" x14ac:dyDescent="0.3">
      <c r="A2" s="133"/>
      <c r="B2" s="138" t="s">
        <v>0</v>
      </c>
      <c r="C2" s="133"/>
      <c r="D2" s="133"/>
      <c r="E2" s="133"/>
      <c r="F2" s="133"/>
      <c r="G2" s="133"/>
      <c r="H2" s="133"/>
      <c r="I2" s="133"/>
      <c r="J2" s="133"/>
      <c r="K2" s="133"/>
      <c r="L2" s="133"/>
      <c r="M2" s="133"/>
      <c r="N2" s="133"/>
    </row>
    <row r="3" spans="1:14" ht="15.75" thickBot="1" x14ac:dyDescent="0.3">
      <c r="A3" s="137" t="str">
        <f>INDEX(Selection[Quarter],MATCH(Summary!$B$3,Selection[REL_D],0))</f>
        <v>Quarter 4</v>
      </c>
      <c r="B3" s="174">
        <v>45017</v>
      </c>
      <c r="C3" s="134" t="s">
        <v>1</v>
      </c>
      <c r="D3" s="134" t="s">
        <v>2</v>
      </c>
      <c r="E3" s="135"/>
      <c r="F3" s="136" t="s">
        <v>2</v>
      </c>
      <c r="G3" s="136" t="s">
        <v>3</v>
      </c>
      <c r="H3" s="136" t="s">
        <v>4</v>
      </c>
      <c r="I3" s="136" t="s">
        <v>5</v>
      </c>
      <c r="J3" s="136" t="s">
        <v>6</v>
      </c>
      <c r="K3" s="136" t="s">
        <v>7</v>
      </c>
      <c r="L3" s="136" t="s">
        <v>8</v>
      </c>
      <c r="M3" s="136" t="s">
        <v>9</v>
      </c>
      <c r="N3" s="136" t="s">
        <v>10</v>
      </c>
    </row>
    <row r="4" spans="1:14" ht="45.75" customHeight="1" thickBot="1" x14ac:dyDescent="0.3">
      <c r="A4" s="146"/>
      <c r="B4" s="146"/>
      <c r="C4" s="139" t="s">
        <v>11</v>
      </c>
      <c r="D4" s="139" t="s">
        <v>12</v>
      </c>
      <c r="E4" s="139" t="s">
        <v>13</v>
      </c>
      <c r="F4" s="173" t="str">
        <f>"Total Eligible Pop (TEP) @"&amp;TEXT(B3,"dd/mm/yyyy")</f>
        <v>Total Eligible Pop (TEP) @01/04/2023</v>
      </c>
      <c r="G4" s="140" t="str">
        <f>"NHS Health Checks Offered "&amp;RIGHT(G2,2)</f>
        <v xml:space="preserve">NHS Health Checks Offered </v>
      </c>
      <c r="H4" s="141" t="str">
        <f>"NHS Health Checks Done "&amp;RIGHT(H2,2)</f>
        <v xml:space="preserve">NHS Health Checks Done </v>
      </c>
      <c r="I4" s="140" t="str">
        <f>"NHS Health Checks Offered "&amp;RIGHT(I2,2)</f>
        <v xml:space="preserve">NHS Health Checks Offered </v>
      </c>
      <c r="J4" s="141" t="str">
        <f>"NHS Health Checks Done "&amp;RIGHT(J2,2)</f>
        <v xml:space="preserve">NHS Health Checks Done </v>
      </c>
      <c r="K4" s="140" t="str">
        <f>"NHS Health Checks Offered "&amp;RIGHT(K2,2)</f>
        <v xml:space="preserve">NHS Health Checks Offered </v>
      </c>
      <c r="L4" s="141" t="str">
        <f>"NHS Health Checks Done "&amp;RIGHT(L2,2)</f>
        <v xml:space="preserve">NHS Health Checks Done </v>
      </c>
      <c r="M4" s="140" t="str">
        <f>"NHS Health Checks Offered "&amp;RIGHT(M2,2)</f>
        <v xml:space="preserve">NHS Health Checks Offered </v>
      </c>
      <c r="N4" s="142" t="str">
        <f>"NHS Health Checks Done "&amp;RIGHT(N2,2)</f>
        <v xml:space="preserve">NHS Health Checks Done </v>
      </c>
    </row>
    <row r="5" spans="1:14" ht="21" customHeight="1" thickTop="1" x14ac:dyDescent="0.25">
      <c r="A5" s="143" t="s">
        <v>14</v>
      </c>
      <c r="B5" s="153" t="s">
        <v>30</v>
      </c>
      <c r="C5" s="147">
        <f ca="1">SUMIFS(OFFSET(REL_D,,MATCH(C$3,IND,0)-1),REL_D,$B$3,OrgID,Sheet2!$G2)</f>
        <v>3762</v>
      </c>
      <c r="D5" s="148">
        <f ca="1">C5-SUMIFS(OFFSET(REL_D,,MATCH(D$3,IND,0)-1),REL_D,$B$3,OrgID,Sheet2!$G2)</f>
        <v>1466</v>
      </c>
      <c r="E5" s="149">
        <f ca="1">IFERROR(D5/C5,"-")</f>
        <v>0.38968633705475808</v>
      </c>
      <c r="F5" s="150">
        <f ca="1">SUMIFS(OFFSET(REL_D,,MATCH(F$3,IND,0)-1),REL_D,$B$3,OrgID,Sheet2!$G2)</f>
        <v>2296</v>
      </c>
      <c r="G5" s="124">
        <f ca="1">SUMIFS(OFFSET(REL_D,,MATCH(G$3,IND,0)-1),REL_D,$B$3,OrgID,Sheet2!$G2)</f>
        <v>193</v>
      </c>
      <c r="H5" s="124">
        <f ca="1">SUMIFS(OFFSET(REL_D,,MATCH(H$3,IND,0)-1),REL_D,$B$3,OrgID,Sheet2!$G2)</f>
        <v>98</v>
      </c>
      <c r="I5" s="124">
        <f ca="1">SUMIFS(OFFSET(REL_D,,MATCH(I$3,IND,0)-1),REL_D,$B$3,OrgID,Sheet2!$G2)</f>
        <v>247</v>
      </c>
      <c r="J5" s="124">
        <f ca="1">SUMIFS(OFFSET(REL_D,,MATCH(J$3,IND,0)-1),REL_D,$B$3,OrgID,Sheet2!$G2)</f>
        <v>164</v>
      </c>
      <c r="K5" s="124">
        <f ca="1">SUMIFS(OFFSET(REL_D,,MATCH(K$3,IND,0)-1),REL_D,$B$3,OrgID,Sheet2!$G2)</f>
        <v>137</v>
      </c>
      <c r="L5" s="124">
        <f ca="1">SUMIFS(OFFSET(REL_D,,MATCH(L$3,IND,0)-1),REL_D,$B$3,OrgID,Sheet2!$G2)</f>
        <v>73</v>
      </c>
      <c r="M5" s="124">
        <f ca="1">SUMIFS(OFFSET(REL_D,,MATCH(M$3,IND,0)-1),REL_D,$B$3,OrgID,Sheet2!$G2)</f>
        <v>206</v>
      </c>
      <c r="N5" s="164">
        <f ca="1">SUMIFS(OFFSET(REL_D,,MATCH(N$3,IND,0)-1),REL_D,$B$3,OrgID,Sheet2!$G2)</f>
        <v>148</v>
      </c>
    </row>
    <row r="6" spans="1:14" ht="20.25" customHeight="1" thickBot="1" x14ac:dyDescent="0.3">
      <c r="A6" s="154" t="s">
        <v>16</v>
      </c>
      <c r="B6" s="156" t="str">
        <f>VLOOKUP(Sheet2!$H$2,Sheet2!$G$12:$H$18,2,0)</f>
        <v>Chingford E4</v>
      </c>
      <c r="C6" s="151">
        <f ca="1">SUMIFS(OFFSET(REL_D,,MATCH(C$3,IND,0)-1),REL_D,$B$3,NwID,Sheet2!$H2)</f>
        <v>15643</v>
      </c>
      <c r="D6" s="125">
        <f ca="1">SUMIFS(OFFSET(REL_D,,MATCH(D$3,IND,0)-1),REL_D,$B$3,NwID,Sheet2!$H2)</f>
        <v>9984</v>
      </c>
      <c r="E6" s="126">
        <f ca="1">IFERROR(D6/C6,"-")</f>
        <v>0.63824074665984787</v>
      </c>
      <c r="F6" s="152">
        <f ca="1">SUMIFS(OFFSET(REL_D,,MATCH(F$3,IND,0)-1),REL_D,$B$3,NwID,Sheet2!$H2)</f>
        <v>9984</v>
      </c>
      <c r="G6" s="125">
        <f ca="1">SUMIFS(OFFSET(REL_D,,MATCH(G$3,IND,0)-1),REL_D,$B$3,NwID,Sheet2!$H2)</f>
        <v>1706</v>
      </c>
      <c r="H6" s="125">
        <f ca="1">SUMIFS(OFFSET(REL_D,,MATCH(H$3,IND,0)-1),REL_D,$B$3,NwID,Sheet2!$H2)</f>
        <v>554</v>
      </c>
      <c r="I6" s="125">
        <f ca="1">SUMIFS(OFFSET(REL_D,,MATCH(I$3,IND,0)-1),REL_D,$B$3,NwID,Sheet2!$H2)</f>
        <v>1829</v>
      </c>
      <c r="J6" s="125">
        <f ca="1">SUMIFS(OFFSET(REL_D,,MATCH(J$3,IND,0)-1),REL_D,$B$3,NwID,Sheet2!$H2)</f>
        <v>745</v>
      </c>
      <c r="K6" s="125">
        <f ca="1">SUMIFS(OFFSET(REL_D,,MATCH(K$3,IND,0)-1),REL_D,$B$3,NwID,Sheet2!$H2)</f>
        <v>1237</v>
      </c>
      <c r="L6" s="125">
        <f ca="1">SUMIFS(OFFSET(REL_D,,MATCH(L$3,IND,0)-1),REL_D,$B$3,NwID,Sheet2!$H2)</f>
        <v>596</v>
      </c>
      <c r="M6" s="125">
        <f ca="1">SUMIFS(OFFSET(REL_D,,MATCH(M$3,IND,0)-1),REL_D,$B$3,NwID,Sheet2!$H2)</f>
        <v>1130</v>
      </c>
      <c r="N6" s="165">
        <f ca="1">SUMIFS(OFFSET(REL_D,,MATCH(N$3,IND,0)-1),REL_D,$B$3,NwID,Sheet2!$H2)</f>
        <v>576</v>
      </c>
    </row>
    <row r="7" spans="1:14" ht="16.5" thickTop="1" thickBot="1" x14ac:dyDescent="0.3">
      <c r="A7" s="144" t="s">
        <v>17</v>
      </c>
      <c r="B7" s="155" t="s">
        <v>18</v>
      </c>
      <c r="C7" s="157">
        <f>VLOOKUP($A$3,Sheet3!$C$4:$O$7,2,0)</f>
        <v>104789</v>
      </c>
      <c r="D7" s="158">
        <f>VLOOKUP($A$3,Sheet3!$C$4:$O$7,3,0)</f>
        <v>34134</v>
      </c>
      <c r="E7" s="159">
        <f>VLOOKUP($A$3,Sheet3!$C$4:$O$7,4,0)</f>
        <v>0.32574029716859593</v>
      </c>
      <c r="F7" s="160">
        <f>VLOOKUP($A$3,Sheet3!$C$4:$O$7,5,0)</f>
        <v>70655</v>
      </c>
      <c r="G7" s="158">
        <f>VLOOKUP($A$3,Sheet3!$C$4:$O$7,6,0)</f>
        <v>5498</v>
      </c>
      <c r="H7" s="158">
        <f>VLOOKUP($A$3,Sheet3!$C$4:$O$7,7,0)</f>
        <v>2234</v>
      </c>
      <c r="I7" s="158">
        <f>VLOOKUP($A$3,Sheet3!$C$4:$O$7,8,0)</f>
        <v>5465</v>
      </c>
      <c r="J7" s="158">
        <f>VLOOKUP($A$3,Sheet3!$C$4:$O$7,9,0)</f>
        <v>2406</v>
      </c>
      <c r="K7" s="158">
        <f>VLOOKUP($A$3,Sheet3!$C$4:$O$7,10,0)</f>
        <v>7564</v>
      </c>
      <c r="L7" s="158">
        <f>VLOOKUP($A$3,Sheet3!$C$4:$O$7,11,0)</f>
        <v>2406</v>
      </c>
      <c r="M7" s="158">
        <f>VLOOKUP($A$3,Sheet3!$C$4:$O$7,12,0)</f>
        <v>0</v>
      </c>
      <c r="N7" s="166">
        <f>VLOOKUP($A$3,Sheet3!$C$4:$O$7,13,0)</f>
        <v>0</v>
      </c>
    </row>
    <row r="8" spans="1:14" x14ac:dyDescent="0.25">
      <c r="A8" s="167" t="s">
        <v>19</v>
      </c>
      <c r="B8" s="168" t="s">
        <v>20</v>
      </c>
      <c r="C8" s="169">
        <v>98483</v>
      </c>
      <c r="D8" s="170">
        <v>27196</v>
      </c>
      <c r="E8" s="171">
        <f>D8/C8</f>
        <v>0.2761491831077445</v>
      </c>
      <c r="F8" s="172">
        <f>C8-D8</f>
        <v>71287</v>
      </c>
      <c r="G8" s="121"/>
      <c r="H8" s="121"/>
      <c r="I8" s="121"/>
      <c r="J8" s="121"/>
      <c r="K8" s="121"/>
      <c r="L8" s="121"/>
      <c r="M8" s="121"/>
      <c r="N8" s="121"/>
    </row>
    <row r="9" spans="1:14" ht="15.75" thickBot="1" x14ac:dyDescent="0.3">
      <c r="A9" s="145" t="s">
        <v>21</v>
      </c>
      <c r="B9" s="127"/>
      <c r="C9" s="128">
        <f>C7-C8</f>
        <v>6306</v>
      </c>
      <c r="D9" s="129">
        <f>D7-D8</f>
        <v>6938</v>
      </c>
      <c r="E9" s="130">
        <f>E7-E8</f>
        <v>4.9591114060851427E-2</v>
      </c>
      <c r="F9" s="131">
        <f>F7-F8</f>
        <v>-632</v>
      </c>
      <c r="G9" s="121"/>
      <c r="H9" s="121"/>
      <c r="I9" s="121"/>
      <c r="J9" s="121"/>
      <c r="K9" s="121"/>
      <c r="L9" s="121"/>
      <c r="M9" s="121"/>
      <c r="N9" s="121"/>
    </row>
    <row r="10" spans="1:14" x14ac:dyDescent="0.25">
      <c r="A10" s="121"/>
      <c r="B10" s="121"/>
      <c r="C10" s="121"/>
      <c r="D10" s="121"/>
      <c r="E10" s="121"/>
      <c r="F10" s="121"/>
      <c r="G10" s="121"/>
      <c r="H10" s="121"/>
      <c r="I10" s="121"/>
      <c r="J10" s="185" t="s">
        <v>22</v>
      </c>
      <c r="M10" s="121"/>
      <c r="N10" s="121"/>
    </row>
    <row r="11" spans="1:14" x14ac:dyDescent="0.25">
      <c r="A11" s="121"/>
      <c r="B11" s="121"/>
      <c r="C11" s="121"/>
      <c r="D11" s="121"/>
      <c r="E11" s="121"/>
      <c r="F11" s="121"/>
      <c r="G11" s="121"/>
      <c r="H11" s="121"/>
      <c r="I11" s="121"/>
      <c r="J11" s="121"/>
      <c r="K11" s="121"/>
      <c r="L11" s="121"/>
      <c r="M11" s="121"/>
      <c r="N11" s="121"/>
    </row>
    <row r="12" spans="1:14" x14ac:dyDescent="0.25">
      <c r="A12" s="175" t="s">
        <v>23</v>
      </c>
      <c r="B12" s="176" t="s">
        <v>24</v>
      </c>
      <c r="C12" s="121"/>
      <c r="D12" s="185" t="s">
        <v>25</v>
      </c>
      <c r="F12" s="121"/>
      <c r="G12" s="121"/>
      <c r="H12" s="121"/>
      <c r="I12" s="121"/>
      <c r="J12" s="121"/>
      <c r="K12" s="121"/>
      <c r="L12" s="121"/>
      <c r="M12" s="121"/>
      <c r="N12" s="121"/>
    </row>
    <row r="13" spans="1:14" x14ac:dyDescent="0.25">
      <c r="A13" s="121"/>
      <c r="B13" s="121"/>
      <c r="C13" s="121"/>
      <c r="D13" s="121"/>
      <c r="E13" s="121"/>
      <c r="F13" s="121"/>
      <c r="G13" s="177" t="s">
        <v>26</v>
      </c>
      <c r="H13" s="121"/>
      <c r="I13" s="121"/>
      <c r="J13" s="121"/>
      <c r="K13" s="121"/>
      <c r="L13" s="121"/>
      <c r="M13" s="121"/>
      <c r="N13" s="121"/>
    </row>
    <row r="14" spans="1:14" x14ac:dyDescent="0.25"/>
    <row r="15" spans="1:14" x14ac:dyDescent="0.25"/>
  </sheetData>
  <conditionalFormatting sqref="A8:A9">
    <cfRule type="expression" dxfId="12" priority="5">
      <formula>ISERROR(A8)</formula>
    </cfRule>
  </conditionalFormatting>
  <conditionalFormatting sqref="C8:F8">
    <cfRule type="expression" dxfId="11" priority="4">
      <formula>ISERROR(C8)</formula>
    </cfRule>
  </conditionalFormatting>
  <conditionalFormatting sqref="C4:N4">
    <cfRule type="expression" dxfId="10" priority="6">
      <formula>ISERROR(C4)</formula>
    </cfRule>
  </conditionalFormatting>
  <pageMargins left="0.7" right="0.7" top="0.75" bottom="0.75" header="0.3" footer="0.3"/>
  <ignoredErrors>
    <ignoredError sqref="E6" formula="1"/>
  </ignoredErrors>
  <drawing r:id="rId1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00000000-0002-0000-0000-000000000000}">
          <x14:formula1>
            <xm:f>CONTROL!$F$2:$F$5</xm:f>
          </x14:formula1>
          <xm:sqref>B3</xm:sqref>
        </x14:dataValidation>
        <x14:dataValidation type="list" allowBlank="1" showInputMessage="1" showErrorMessage="1" xr:uid="{00000000-0002-0000-0000-000001000000}">
          <x14:formula1>
            <xm:f>Sheet2!$B$2:$B$41</xm:f>
          </x14:formula1>
          <xm:sqref>B5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4" tint="0.39997558519241921"/>
  </sheetPr>
  <dimension ref="A1:N50"/>
  <sheetViews>
    <sheetView showGridLines="0" zoomScale="80" zoomScaleNormal="80" workbookViewId="0">
      <selection activeCell="A3" sqref="A3"/>
    </sheetView>
  </sheetViews>
  <sheetFormatPr defaultRowHeight="15" x14ac:dyDescent="0.25"/>
  <cols>
    <col min="1" max="1" width="48.42578125" customWidth="1"/>
    <col min="2" max="2" width="12.42578125" customWidth="1"/>
    <col min="3" max="4" width="14.42578125" customWidth="1"/>
    <col min="5" max="5" width="15.7109375" customWidth="1"/>
    <col min="6" max="6" width="14.42578125" customWidth="1"/>
    <col min="7" max="14" width="19.28515625" customWidth="1"/>
  </cols>
  <sheetData>
    <row r="1" spans="1:14" ht="29.25" thickTop="1" x14ac:dyDescent="0.25">
      <c r="A1" s="58" t="str">
        <f>"Waltham Forest: NHS Health Check - Public Health Outcome Framework (2022-2023 "&amp;A3&amp;")"</f>
        <v>Waltham Forest: NHS Health Check - Public Health Outcome Framework (2022-2023 Quarter 4)</v>
      </c>
      <c r="B1" s="59"/>
      <c r="C1" s="60"/>
      <c r="D1" s="60"/>
      <c r="E1" s="60"/>
      <c r="F1" s="60"/>
      <c r="G1" s="59"/>
      <c r="H1" s="59"/>
      <c r="I1" s="59"/>
      <c r="J1" s="59"/>
      <c r="K1" s="59"/>
      <c r="L1" s="59"/>
      <c r="M1" s="59"/>
      <c r="N1" s="61"/>
    </row>
    <row r="2" spans="1:14" ht="15.75" thickBot="1" x14ac:dyDescent="0.3">
      <c r="A2" s="62"/>
      <c r="C2" s="41" t="s">
        <v>1</v>
      </c>
      <c r="D2" s="41" t="s">
        <v>2</v>
      </c>
      <c r="E2" s="37"/>
      <c r="F2" s="38" t="s">
        <v>2</v>
      </c>
      <c r="G2" s="38" t="s">
        <v>3</v>
      </c>
      <c r="H2" s="38" t="s">
        <v>4</v>
      </c>
      <c r="I2" s="38" t="s">
        <v>5</v>
      </c>
      <c r="J2" s="38" t="s">
        <v>6</v>
      </c>
      <c r="K2" s="38" t="s">
        <v>7</v>
      </c>
      <c r="L2" s="38" t="s">
        <v>8</v>
      </c>
      <c r="M2" s="38" t="s">
        <v>9</v>
      </c>
      <c r="N2" s="63" t="s">
        <v>10</v>
      </c>
    </row>
    <row r="3" spans="1:14" ht="15.75" thickBot="1" x14ac:dyDescent="0.3">
      <c r="A3" s="64" t="s">
        <v>162</v>
      </c>
      <c r="B3" s="57">
        <f>VLOOKUP(A3,Selection[],2,0)</f>
        <v>45017</v>
      </c>
      <c r="C3" s="65"/>
      <c r="D3" s="66"/>
      <c r="E3" s="66"/>
      <c r="F3" s="55"/>
      <c r="G3" s="2" t="str">
        <f>"Quarter "&amp;RIGHT(G$2,1)</f>
        <v>Quarter 1</v>
      </c>
      <c r="H3" s="45"/>
      <c r="I3" s="36" t="str">
        <f>"Quarter "&amp;RIGHT(I$2,1)</f>
        <v>Quarter 2</v>
      </c>
      <c r="J3" s="46"/>
      <c r="K3" s="2" t="str">
        <f>"Quarter "&amp;RIGHT(K$2,1)</f>
        <v>Quarter 3</v>
      </c>
      <c r="L3" s="45"/>
      <c r="M3" s="36" t="str">
        <f>"Quarter "&amp;RIGHT(M$2,1)</f>
        <v>Quarter 4</v>
      </c>
      <c r="N3" s="67"/>
    </row>
    <row r="4" spans="1:14" ht="60.75" thickBot="1" x14ac:dyDescent="0.3">
      <c r="A4" s="103" t="s">
        <v>28</v>
      </c>
      <c r="B4" s="104" t="s">
        <v>29</v>
      </c>
      <c r="C4" s="105" t="s">
        <v>11</v>
      </c>
      <c r="D4" s="105" t="s">
        <v>12</v>
      </c>
      <c r="E4" s="105" t="s">
        <v>13</v>
      </c>
      <c r="F4" s="106" t="str">
        <f>"Total Eligible Pop (TEP) @"&amp;TEXT(B3,"dd/mm/yyyy")</f>
        <v>Total Eligible Pop (TEP) @01/04/2023</v>
      </c>
      <c r="G4" s="107" t="str">
        <f>"NHS Health Checks Offered "&amp;RIGHT(G2,2)</f>
        <v>NHS Health Checks Offered Q1</v>
      </c>
      <c r="H4" s="108" t="str">
        <f>"NHS Health Checks Done "&amp;RIGHT(H2,2)</f>
        <v>NHS Health Checks Done Q1</v>
      </c>
      <c r="I4" s="107" t="str">
        <f>"NHS Health Checks Offered "&amp;RIGHT(I2,2)</f>
        <v>NHS Health Checks Offered Q2</v>
      </c>
      <c r="J4" s="108" t="str">
        <f>"NHS Health Checks Done "&amp;RIGHT(J2,2)</f>
        <v>NHS Health Checks Done Q2</v>
      </c>
      <c r="K4" s="107" t="str">
        <f>"NHS Health Checks Offered "&amp;RIGHT(K2,2)</f>
        <v>NHS Health Checks Offered Q3</v>
      </c>
      <c r="L4" s="108" t="str">
        <f>"NHS Health Checks Done "&amp;RIGHT(L2,2)</f>
        <v>NHS Health Checks Done Q3</v>
      </c>
      <c r="M4" s="107" t="str">
        <f>"NHS Health Checks Offered "&amp;RIGHT(M2,2)</f>
        <v>NHS Health Checks Offered Q4</v>
      </c>
      <c r="N4" s="109" t="str">
        <f>"NHS Health Checks Done "&amp;RIGHT(N2,2)</f>
        <v>NHS Health Checks Done Q4</v>
      </c>
    </row>
    <row r="5" spans="1:14" ht="15.75" thickTop="1" x14ac:dyDescent="0.25">
      <c r="A5" s="95" t="s">
        <v>30</v>
      </c>
      <c r="B5" s="96" t="s">
        <v>31</v>
      </c>
      <c r="C5" s="97">
        <f t="shared" ref="C5:C43" ca="1" si="0">SUMIFS(OFFSET(REL_D,,MATCH(C$2,IND,0)-1),REL_D,$B$3,OrgID,$B5)</f>
        <v>3762</v>
      </c>
      <c r="D5" s="98">
        <f ca="1">C5-SUMIFS(OFFSET(REL_D,,MATCH(D$2,IND,0)-1),REL_D,$B$3,OrgID,$B5)</f>
        <v>1466</v>
      </c>
      <c r="E5" s="99">
        <f ca="1">IFERROR(D5/C5,"-")</f>
        <v>0.38968633705475808</v>
      </c>
      <c r="F5" s="100">
        <f t="shared" ref="F5:N14" ca="1" si="1">SUMIFS(OFFSET(REL_D,,MATCH(F$2,IND,0)-1),REL_D,$B$3,OrgID,$B5)</f>
        <v>2296</v>
      </c>
      <c r="G5" s="97">
        <f t="shared" ca="1" si="1"/>
        <v>193</v>
      </c>
      <c r="H5" s="101">
        <f t="shared" ca="1" si="1"/>
        <v>98</v>
      </c>
      <c r="I5" s="101">
        <f t="shared" ca="1" si="1"/>
        <v>247</v>
      </c>
      <c r="J5" s="101">
        <f t="shared" ca="1" si="1"/>
        <v>164</v>
      </c>
      <c r="K5" s="101">
        <f t="shared" ca="1" si="1"/>
        <v>137</v>
      </c>
      <c r="L5" s="101">
        <f t="shared" ca="1" si="1"/>
        <v>73</v>
      </c>
      <c r="M5" s="101">
        <f t="shared" ca="1" si="1"/>
        <v>206</v>
      </c>
      <c r="N5" s="102">
        <f t="shared" ca="1" si="1"/>
        <v>148</v>
      </c>
    </row>
    <row r="6" spans="1:14" x14ac:dyDescent="0.25">
      <c r="A6" s="68" t="s">
        <v>32</v>
      </c>
      <c r="B6" s="44" t="s">
        <v>33</v>
      </c>
      <c r="C6" s="97">
        <f t="shared" ca="1" si="0"/>
        <v>5615</v>
      </c>
      <c r="D6" s="47">
        <f t="shared" ref="D6:D43" ca="1" si="2">C6-SUMIFS(OFFSET(REL_D,,MATCH(D$2,IND,0)-1),REL_D,$B$3,OrgID,$B6)</f>
        <v>2095</v>
      </c>
      <c r="E6" s="40">
        <f t="shared" ref="E6:E43" ca="1" si="3">IFERROR(D6/C6,"-")</f>
        <v>0.37310774710596617</v>
      </c>
      <c r="F6" s="43">
        <f t="shared" ca="1" si="1"/>
        <v>3520</v>
      </c>
      <c r="G6" s="42">
        <f t="shared" ca="1" si="1"/>
        <v>729</v>
      </c>
      <c r="H6" s="39">
        <f t="shared" ca="1" si="1"/>
        <v>168</v>
      </c>
      <c r="I6" s="39">
        <f t="shared" ca="1" si="1"/>
        <v>666</v>
      </c>
      <c r="J6" s="39">
        <f t="shared" ca="1" si="1"/>
        <v>231</v>
      </c>
      <c r="K6" s="39">
        <f t="shared" ca="1" si="1"/>
        <v>404</v>
      </c>
      <c r="L6" s="39">
        <f t="shared" ca="1" si="1"/>
        <v>203</v>
      </c>
      <c r="M6" s="39">
        <f t="shared" ca="1" si="1"/>
        <v>279</v>
      </c>
      <c r="N6" s="69">
        <f t="shared" ca="1" si="1"/>
        <v>158</v>
      </c>
    </row>
    <row r="7" spans="1:14" x14ac:dyDescent="0.25">
      <c r="A7" s="68" t="s">
        <v>34</v>
      </c>
      <c r="B7" s="44" t="s">
        <v>35</v>
      </c>
      <c r="C7" s="97">
        <f t="shared" ca="1" si="0"/>
        <v>3094</v>
      </c>
      <c r="D7" s="47">
        <f t="shared" ca="1" si="2"/>
        <v>1103</v>
      </c>
      <c r="E7" s="40">
        <f t="shared" ca="1" si="3"/>
        <v>0.35649644473173886</v>
      </c>
      <c r="F7" s="43">
        <f t="shared" ca="1" si="1"/>
        <v>1991</v>
      </c>
      <c r="G7" s="42">
        <f t="shared" ca="1" si="1"/>
        <v>206</v>
      </c>
      <c r="H7" s="39">
        <f t="shared" ca="1" si="1"/>
        <v>47</v>
      </c>
      <c r="I7" s="39">
        <f t="shared" ca="1" si="1"/>
        <v>605</v>
      </c>
      <c r="J7" s="39">
        <f t="shared" ca="1" si="1"/>
        <v>140</v>
      </c>
      <c r="K7" s="39">
        <f t="shared" ca="1" si="1"/>
        <v>486</v>
      </c>
      <c r="L7" s="39">
        <f t="shared" ca="1" si="1"/>
        <v>193</v>
      </c>
      <c r="M7" s="39">
        <f t="shared" ca="1" si="1"/>
        <v>576</v>
      </c>
      <c r="N7" s="69">
        <f t="shared" ca="1" si="1"/>
        <v>200</v>
      </c>
    </row>
    <row r="8" spans="1:14" x14ac:dyDescent="0.25">
      <c r="A8" s="68" t="s">
        <v>36</v>
      </c>
      <c r="B8" s="44" t="s">
        <v>37</v>
      </c>
      <c r="C8" s="97">
        <f t="shared" ca="1" si="0"/>
        <v>1576</v>
      </c>
      <c r="D8" s="47">
        <f t="shared" ca="1" si="2"/>
        <v>617</v>
      </c>
      <c r="E8" s="40">
        <f t="shared" ca="1" si="3"/>
        <v>0.39149746192893403</v>
      </c>
      <c r="F8" s="43">
        <f t="shared" ca="1" si="1"/>
        <v>959</v>
      </c>
      <c r="G8" s="42">
        <f t="shared" ca="1" si="1"/>
        <v>27</v>
      </c>
      <c r="H8" s="39">
        <f t="shared" ca="1" si="1"/>
        <v>27</v>
      </c>
      <c r="I8" s="39">
        <f t="shared" ca="1" si="1"/>
        <v>53</v>
      </c>
      <c r="J8" s="39">
        <f t="shared" ca="1" si="1"/>
        <v>44</v>
      </c>
      <c r="K8" s="39">
        <f t="shared" ca="1" si="1"/>
        <v>33</v>
      </c>
      <c r="L8" s="39">
        <f t="shared" ca="1" si="1"/>
        <v>11</v>
      </c>
      <c r="M8" s="39">
        <f t="shared" ca="1" si="1"/>
        <v>42</v>
      </c>
      <c r="N8" s="69">
        <f t="shared" ca="1" si="1"/>
        <v>34</v>
      </c>
    </row>
    <row r="9" spans="1:14" x14ac:dyDescent="0.25">
      <c r="A9" s="68" t="s">
        <v>38</v>
      </c>
      <c r="B9" s="44" t="s">
        <v>39</v>
      </c>
      <c r="C9" s="97">
        <f t="shared" ca="1" si="0"/>
        <v>3485</v>
      </c>
      <c r="D9" s="47">
        <f t="shared" ca="1" si="2"/>
        <v>1107</v>
      </c>
      <c r="E9" s="40">
        <f t="shared" ca="1" si="3"/>
        <v>0.31764705882352939</v>
      </c>
      <c r="F9" s="43">
        <f t="shared" ca="1" si="1"/>
        <v>2378</v>
      </c>
      <c r="G9" s="42">
        <f t="shared" ca="1" si="1"/>
        <v>102</v>
      </c>
      <c r="H9" s="39">
        <f t="shared" ca="1" si="1"/>
        <v>90</v>
      </c>
      <c r="I9" s="39">
        <f t="shared" ca="1" si="1"/>
        <v>76</v>
      </c>
      <c r="J9" s="39">
        <f t="shared" ca="1" si="1"/>
        <v>59</v>
      </c>
      <c r="K9" s="39">
        <f t="shared" ca="1" si="1"/>
        <v>107</v>
      </c>
      <c r="L9" s="39">
        <f t="shared" ca="1" si="1"/>
        <v>88</v>
      </c>
      <c r="M9" s="39">
        <f t="shared" ca="1" si="1"/>
        <v>332</v>
      </c>
      <c r="N9" s="69">
        <f t="shared" ca="1" si="1"/>
        <v>109</v>
      </c>
    </row>
    <row r="10" spans="1:14" x14ac:dyDescent="0.25">
      <c r="A10" s="68" t="s">
        <v>40</v>
      </c>
      <c r="B10" s="44" t="s">
        <v>41</v>
      </c>
      <c r="C10" s="97">
        <f t="shared" ca="1" si="0"/>
        <v>3172</v>
      </c>
      <c r="D10" s="47">
        <f t="shared" ca="1" si="2"/>
        <v>995</v>
      </c>
      <c r="E10" s="40">
        <f t="shared" ca="1" si="3"/>
        <v>0.31368221941992436</v>
      </c>
      <c r="F10" s="43">
        <f t="shared" ca="1" si="1"/>
        <v>2177</v>
      </c>
      <c r="G10" s="42">
        <f t="shared" ca="1" si="1"/>
        <v>578</v>
      </c>
      <c r="H10" s="39">
        <f t="shared" ca="1" si="1"/>
        <v>241</v>
      </c>
      <c r="I10" s="39">
        <f t="shared" ca="1" si="1"/>
        <v>311</v>
      </c>
      <c r="J10" s="39">
        <f t="shared" ca="1" si="1"/>
        <v>210</v>
      </c>
      <c r="K10" s="39">
        <f t="shared" ca="1" si="1"/>
        <v>210</v>
      </c>
      <c r="L10" s="39">
        <f t="shared" ca="1" si="1"/>
        <v>127</v>
      </c>
      <c r="M10" s="39">
        <f t="shared" ca="1" si="1"/>
        <v>69</v>
      </c>
      <c r="N10" s="69">
        <f t="shared" ca="1" si="1"/>
        <v>70</v>
      </c>
    </row>
    <row r="11" spans="1:14" x14ac:dyDescent="0.25">
      <c r="A11" s="68" t="s">
        <v>42</v>
      </c>
      <c r="B11" s="44" t="s">
        <v>43</v>
      </c>
      <c r="C11" s="97">
        <f t="shared" ca="1" si="0"/>
        <v>2063</v>
      </c>
      <c r="D11" s="47">
        <f ca="1">C11-SUMIFS(OFFSET(REL_D,,MATCH(D$2,IND,0)-1),REL_D,$B$3,OrgID,$B11)</f>
        <v>736</v>
      </c>
      <c r="E11" s="40">
        <f t="shared" ca="1" si="3"/>
        <v>0.35676199709161416</v>
      </c>
      <c r="F11" s="43">
        <f t="shared" ca="1" si="1"/>
        <v>1327</v>
      </c>
      <c r="G11" s="42">
        <f t="shared" ca="1" si="1"/>
        <v>0</v>
      </c>
      <c r="H11" s="39">
        <f t="shared" ca="1" si="1"/>
        <v>2</v>
      </c>
      <c r="I11" s="39">
        <f t="shared" ca="1" si="1"/>
        <v>0</v>
      </c>
      <c r="J11" s="39">
        <f t="shared" ca="1" si="1"/>
        <v>1</v>
      </c>
      <c r="K11" s="39">
        <f t="shared" ca="1" si="1"/>
        <v>1</v>
      </c>
      <c r="L11" s="39">
        <f t="shared" ca="1" si="1"/>
        <v>2</v>
      </c>
      <c r="M11" s="39">
        <f t="shared" ca="1" si="1"/>
        <v>0</v>
      </c>
      <c r="N11" s="69">
        <f t="shared" ca="1" si="1"/>
        <v>0</v>
      </c>
    </row>
    <row r="12" spans="1:14" x14ac:dyDescent="0.25">
      <c r="A12" s="68" t="s">
        <v>44</v>
      </c>
      <c r="B12" s="44" t="s">
        <v>45</v>
      </c>
      <c r="C12" s="97">
        <f t="shared" ca="1" si="0"/>
        <v>3932</v>
      </c>
      <c r="D12" s="47">
        <f t="shared" ca="1" si="2"/>
        <v>1389</v>
      </c>
      <c r="E12" s="40">
        <f t="shared" ca="1" si="3"/>
        <v>0.3532553407934893</v>
      </c>
      <c r="F12" s="43">
        <f t="shared" ca="1" si="1"/>
        <v>2543</v>
      </c>
      <c r="G12" s="42">
        <f t="shared" ca="1" si="1"/>
        <v>17</v>
      </c>
      <c r="H12" s="39">
        <f t="shared" ca="1" si="1"/>
        <v>11</v>
      </c>
      <c r="I12" s="39">
        <f t="shared" ca="1" si="1"/>
        <v>16</v>
      </c>
      <c r="J12" s="39">
        <f t="shared" ca="1" si="1"/>
        <v>14</v>
      </c>
      <c r="K12" s="39">
        <f t="shared" ca="1" si="1"/>
        <v>8</v>
      </c>
      <c r="L12" s="39">
        <f t="shared" ca="1" si="1"/>
        <v>5</v>
      </c>
      <c r="M12" s="39">
        <f t="shared" ca="1" si="1"/>
        <v>36</v>
      </c>
      <c r="N12" s="69">
        <f t="shared" ca="1" si="1"/>
        <v>11</v>
      </c>
    </row>
    <row r="13" spans="1:14" x14ac:dyDescent="0.25">
      <c r="A13" s="68" t="s">
        <v>46</v>
      </c>
      <c r="B13" s="44" t="s">
        <v>47</v>
      </c>
      <c r="C13" s="97">
        <f t="shared" ca="1" si="0"/>
        <v>6157</v>
      </c>
      <c r="D13" s="47">
        <f t="shared" ca="1" si="2"/>
        <v>1828</v>
      </c>
      <c r="E13" s="40">
        <f t="shared" ca="1" si="3"/>
        <v>0.29689783985707324</v>
      </c>
      <c r="F13" s="43">
        <f t="shared" ca="1" si="1"/>
        <v>4329</v>
      </c>
      <c r="G13" s="42">
        <f t="shared" ca="1" si="1"/>
        <v>385</v>
      </c>
      <c r="H13" s="39">
        <f t="shared" ca="1" si="1"/>
        <v>168</v>
      </c>
      <c r="I13" s="39">
        <f t="shared" ca="1" si="1"/>
        <v>1249</v>
      </c>
      <c r="J13" s="39">
        <f t="shared" ca="1" si="1"/>
        <v>238</v>
      </c>
      <c r="K13" s="39">
        <f t="shared" ca="1" si="1"/>
        <v>387</v>
      </c>
      <c r="L13" s="39">
        <f t="shared" ca="1" si="1"/>
        <v>284</v>
      </c>
      <c r="M13" s="39">
        <f t="shared" ca="1" si="1"/>
        <v>574</v>
      </c>
      <c r="N13" s="69">
        <f t="shared" ca="1" si="1"/>
        <v>501</v>
      </c>
    </row>
    <row r="14" spans="1:14" x14ac:dyDescent="0.25">
      <c r="A14" s="68" t="s">
        <v>48</v>
      </c>
      <c r="B14" s="44" t="s">
        <v>49</v>
      </c>
      <c r="C14" s="97">
        <f t="shared" ca="1" si="0"/>
        <v>3990</v>
      </c>
      <c r="D14" s="47">
        <f t="shared" ca="1" si="2"/>
        <v>1492</v>
      </c>
      <c r="E14" s="40">
        <f t="shared" ca="1" si="3"/>
        <v>0.37393483709273184</v>
      </c>
      <c r="F14" s="43">
        <f t="shared" ca="1" si="1"/>
        <v>2498</v>
      </c>
      <c r="G14" s="42">
        <f t="shared" ca="1" si="1"/>
        <v>16</v>
      </c>
      <c r="H14" s="39">
        <f t="shared" ca="1" si="1"/>
        <v>15</v>
      </c>
      <c r="I14" s="39">
        <f t="shared" ca="1" si="1"/>
        <v>64</v>
      </c>
      <c r="J14" s="39">
        <f t="shared" ca="1" si="1"/>
        <v>61</v>
      </c>
      <c r="K14" s="39">
        <f t="shared" ca="1" si="1"/>
        <v>97</v>
      </c>
      <c r="L14" s="39">
        <f t="shared" ca="1" si="1"/>
        <v>36</v>
      </c>
      <c r="M14" s="39">
        <f t="shared" ca="1" si="1"/>
        <v>1873</v>
      </c>
      <c r="N14" s="69">
        <f t="shared" ca="1" si="1"/>
        <v>223</v>
      </c>
    </row>
    <row r="15" spans="1:14" x14ac:dyDescent="0.25">
      <c r="A15" s="68" t="s">
        <v>50</v>
      </c>
      <c r="B15" s="44" t="s">
        <v>51</v>
      </c>
      <c r="C15" s="97">
        <f t="shared" ca="1" si="0"/>
        <v>3473</v>
      </c>
      <c r="D15" s="47">
        <f t="shared" ca="1" si="2"/>
        <v>868</v>
      </c>
      <c r="E15" s="40">
        <f t="shared" ca="1" si="3"/>
        <v>0.24992801612438814</v>
      </c>
      <c r="F15" s="43">
        <f t="shared" ref="F15:N24" ca="1" si="4">SUMIFS(OFFSET(REL_D,,MATCH(F$2,IND,0)-1),REL_D,$B$3,OrgID,$B15)</f>
        <v>2605</v>
      </c>
      <c r="G15" s="42">
        <f t="shared" ca="1" si="4"/>
        <v>48</v>
      </c>
      <c r="H15" s="39">
        <f t="shared" ca="1" si="4"/>
        <v>41</v>
      </c>
      <c r="I15" s="39">
        <f t="shared" ca="1" si="4"/>
        <v>23</v>
      </c>
      <c r="J15" s="39">
        <f t="shared" ca="1" si="4"/>
        <v>20</v>
      </c>
      <c r="K15" s="39">
        <f t="shared" ca="1" si="4"/>
        <v>16</v>
      </c>
      <c r="L15" s="39">
        <f t="shared" ca="1" si="4"/>
        <v>11</v>
      </c>
      <c r="M15" s="39">
        <f t="shared" ca="1" si="4"/>
        <v>921</v>
      </c>
      <c r="N15" s="69">
        <f t="shared" ca="1" si="4"/>
        <v>18</v>
      </c>
    </row>
    <row r="16" spans="1:14" x14ac:dyDescent="0.25">
      <c r="A16" s="68" t="s">
        <v>52</v>
      </c>
      <c r="B16" s="44" t="s">
        <v>53</v>
      </c>
      <c r="C16" s="97">
        <f t="shared" ca="1" si="0"/>
        <v>2347</v>
      </c>
      <c r="D16" s="47">
        <f t="shared" ca="1" si="2"/>
        <v>683</v>
      </c>
      <c r="E16" s="40">
        <f t="shared" ca="1" si="3"/>
        <v>0.29100979974435448</v>
      </c>
      <c r="F16" s="43">
        <f t="shared" ca="1" si="4"/>
        <v>1664</v>
      </c>
      <c r="G16" s="42">
        <f t="shared" ca="1" si="4"/>
        <v>78</v>
      </c>
      <c r="H16" s="39">
        <f t="shared" ca="1" si="4"/>
        <v>77</v>
      </c>
      <c r="I16" s="39">
        <f t="shared" ca="1" si="4"/>
        <v>196</v>
      </c>
      <c r="J16" s="39">
        <f t="shared" ca="1" si="4"/>
        <v>71</v>
      </c>
      <c r="K16" s="39">
        <f t="shared" ca="1" si="4"/>
        <v>36</v>
      </c>
      <c r="L16" s="39">
        <f t="shared" ca="1" si="4"/>
        <v>34</v>
      </c>
      <c r="M16" s="39">
        <f t="shared" ca="1" si="4"/>
        <v>40</v>
      </c>
      <c r="N16" s="69">
        <f t="shared" ca="1" si="4"/>
        <v>24</v>
      </c>
    </row>
    <row r="17" spans="1:14" x14ac:dyDescent="0.25">
      <c r="A17" s="68" t="s">
        <v>54</v>
      </c>
      <c r="B17" s="44" t="s">
        <v>55</v>
      </c>
      <c r="C17" s="97">
        <f t="shared" ca="1" si="0"/>
        <v>2498</v>
      </c>
      <c r="D17" s="47">
        <f t="shared" ca="1" si="2"/>
        <v>749</v>
      </c>
      <c r="E17" s="40">
        <f t="shared" ca="1" si="3"/>
        <v>0.29983987189751804</v>
      </c>
      <c r="F17" s="43">
        <f t="shared" ca="1" si="4"/>
        <v>1749</v>
      </c>
      <c r="G17" s="42">
        <f t="shared" ca="1" si="4"/>
        <v>7</v>
      </c>
      <c r="H17" s="39">
        <f t="shared" ca="1" si="4"/>
        <v>6</v>
      </c>
      <c r="I17" s="39">
        <f t="shared" ca="1" si="4"/>
        <v>5</v>
      </c>
      <c r="J17" s="39">
        <f t="shared" ca="1" si="4"/>
        <v>2</v>
      </c>
      <c r="K17" s="39">
        <f t="shared" ca="1" si="4"/>
        <v>8</v>
      </c>
      <c r="L17" s="39">
        <f t="shared" ca="1" si="4"/>
        <v>6</v>
      </c>
      <c r="M17" s="39">
        <f t="shared" ca="1" si="4"/>
        <v>4</v>
      </c>
      <c r="N17" s="69">
        <f t="shared" ca="1" si="4"/>
        <v>3</v>
      </c>
    </row>
    <row r="18" spans="1:14" x14ac:dyDescent="0.25">
      <c r="A18" s="68" t="s">
        <v>56</v>
      </c>
      <c r="B18" s="44" t="s">
        <v>57</v>
      </c>
      <c r="C18" s="97">
        <f t="shared" ca="1" si="0"/>
        <v>1226</v>
      </c>
      <c r="D18" s="47">
        <f t="shared" ca="1" si="2"/>
        <v>421</v>
      </c>
      <c r="E18" s="40">
        <f t="shared" ca="1" si="3"/>
        <v>0.34339314845024471</v>
      </c>
      <c r="F18" s="43">
        <f t="shared" ca="1" si="4"/>
        <v>805</v>
      </c>
      <c r="G18" s="42">
        <f t="shared" ca="1" si="4"/>
        <v>190</v>
      </c>
      <c r="H18" s="39">
        <f t="shared" ca="1" si="4"/>
        <v>95</v>
      </c>
      <c r="I18" s="39">
        <f t="shared" ca="1" si="4"/>
        <v>37</v>
      </c>
      <c r="J18" s="39">
        <f t="shared" ca="1" si="4"/>
        <v>36</v>
      </c>
      <c r="K18" s="39">
        <f t="shared" ca="1" si="4"/>
        <v>43</v>
      </c>
      <c r="L18" s="39">
        <f t="shared" ca="1" si="4"/>
        <v>43</v>
      </c>
      <c r="M18" s="39">
        <f t="shared" ca="1" si="4"/>
        <v>19</v>
      </c>
      <c r="N18" s="69">
        <f t="shared" ca="1" si="4"/>
        <v>17</v>
      </c>
    </row>
    <row r="19" spans="1:14" x14ac:dyDescent="0.25">
      <c r="A19" s="68" t="s">
        <v>58</v>
      </c>
      <c r="B19" s="44" t="s">
        <v>59</v>
      </c>
      <c r="C19" s="97">
        <f t="shared" ca="1" si="0"/>
        <v>875</v>
      </c>
      <c r="D19" s="47">
        <f t="shared" ca="1" si="2"/>
        <v>291</v>
      </c>
      <c r="E19" s="40">
        <f t="shared" ca="1" si="3"/>
        <v>0.33257142857142857</v>
      </c>
      <c r="F19" s="43">
        <f t="shared" ca="1" si="4"/>
        <v>584</v>
      </c>
      <c r="G19" s="42">
        <f t="shared" ca="1" si="4"/>
        <v>17</v>
      </c>
      <c r="H19" s="39">
        <f t="shared" ca="1" si="4"/>
        <v>16</v>
      </c>
      <c r="I19" s="39">
        <f t="shared" ca="1" si="4"/>
        <v>23</v>
      </c>
      <c r="J19" s="39">
        <f t="shared" ca="1" si="4"/>
        <v>23</v>
      </c>
      <c r="K19" s="39">
        <f t="shared" ca="1" si="4"/>
        <v>207</v>
      </c>
      <c r="L19" s="39">
        <f t="shared" ca="1" si="4"/>
        <v>27</v>
      </c>
      <c r="M19" s="39">
        <f t="shared" ca="1" si="4"/>
        <v>42</v>
      </c>
      <c r="N19" s="69">
        <f t="shared" ca="1" si="4"/>
        <v>27</v>
      </c>
    </row>
    <row r="20" spans="1:14" x14ac:dyDescent="0.25">
      <c r="A20" s="68" t="s">
        <v>60</v>
      </c>
      <c r="B20" s="44" t="s">
        <v>61</v>
      </c>
      <c r="C20" s="97">
        <f t="shared" ca="1" si="0"/>
        <v>1508</v>
      </c>
      <c r="D20" s="47">
        <f t="shared" ca="1" si="2"/>
        <v>552</v>
      </c>
      <c r="E20" s="40">
        <f t="shared" ca="1" si="3"/>
        <v>0.3660477453580902</v>
      </c>
      <c r="F20" s="43">
        <f t="shared" ca="1" si="4"/>
        <v>956</v>
      </c>
      <c r="G20" s="42">
        <f t="shared" ca="1" si="4"/>
        <v>7</v>
      </c>
      <c r="H20" s="39">
        <f t="shared" ca="1" si="4"/>
        <v>3</v>
      </c>
      <c r="I20" s="39">
        <f t="shared" ca="1" si="4"/>
        <v>8</v>
      </c>
      <c r="J20" s="39">
        <f t="shared" ca="1" si="4"/>
        <v>5</v>
      </c>
      <c r="K20" s="39">
        <f t="shared" ca="1" si="4"/>
        <v>370</v>
      </c>
      <c r="L20" s="39">
        <f t="shared" ca="1" si="4"/>
        <v>18</v>
      </c>
      <c r="M20" s="39">
        <f t="shared" ca="1" si="4"/>
        <v>52</v>
      </c>
      <c r="N20" s="69">
        <f t="shared" ca="1" si="4"/>
        <v>51</v>
      </c>
    </row>
    <row r="21" spans="1:14" x14ac:dyDescent="0.25">
      <c r="A21" s="68" t="s">
        <v>62</v>
      </c>
      <c r="B21" s="44" t="s">
        <v>63</v>
      </c>
      <c r="C21" s="97">
        <f t="shared" ca="1" si="0"/>
        <v>3136</v>
      </c>
      <c r="D21" s="47">
        <f t="shared" ca="1" si="2"/>
        <v>975</v>
      </c>
      <c r="E21" s="40">
        <f t="shared" ca="1" si="3"/>
        <v>0.31090561224489793</v>
      </c>
      <c r="F21" s="43">
        <f t="shared" ca="1" si="4"/>
        <v>2161</v>
      </c>
      <c r="G21" s="42">
        <f t="shared" ca="1" si="4"/>
        <v>306</v>
      </c>
      <c r="H21" s="39">
        <f t="shared" ca="1" si="4"/>
        <v>121</v>
      </c>
      <c r="I21" s="39">
        <f t="shared" ca="1" si="4"/>
        <v>81</v>
      </c>
      <c r="J21" s="39">
        <f t="shared" ca="1" si="4"/>
        <v>32</v>
      </c>
      <c r="K21" s="39">
        <f t="shared" ca="1" si="4"/>
        <v>433</v>
      </c>
      <c r="L21" s="39">
        <f t="shared" ca="1" si="4"/>
        <v>145</v>
      </c>
      <c r="M21" s="39">
        <f t="shared" ca="1" si="4"/>
        <v>73</v>
      </c>
      <c r="N21" s="69">
        <f t="shared" ca="1" si="4"/>
        <v>71</v>
      </c>
    </row>
    <row r="22" spans="1:14" x14ac:dyDescent="0.25">
      <c r="A22" s="68" t="s">
        <v>64</v>
      </c>
      <c r="B22" s="44" t="s">
        <v>65</v>
      </c>
      <c r="C22" s="97">
        <f t="shared" ca="1" si="0"/>
        <v>2463</v>
      </c>
      <c r="D22" s="47">
        <f t="shared" ca="1" si="2"/>
        <v>842</v>
      </c>
      <c r="E22" s="40">
        <f t="shared" ca="1" si="3"/>
        <v>0.34185952090946004</v>
      </c>
      <c r="F22" s="43">
        <f t="shared" ca="1" si="4"/>
        <v>1621</v>
      </c>
      <c r="G22" s="42">
        <f t="shared" ca="1" si="4"/>
        <v>29</v>
      </c>
      <c r="H22" s="39">
        <f t="shared" ca="1" si="4"/>
        <v>6</v>
      </c>
      <c r="I22" s="39">
        <f t="shared" ca="1" si="4"/>
        <v>15</v>
      </c>
      <c r="J22" s="39">
        <f t="shared" ca="1" si="4"/>
        <v>8</v>
      </c>
      <c r="K22" s="39">
        <f t="shared" ca="1" si="4"/>
        <v>3</v>
      </c>
      <c r="L22" s="39">
        <f t="shared" ca="1" si="4"/>
        <v>3</v>
      </c>
      <c r="M22" s="39">
        <f t="shared" ca="1" si="4"/>
        <v>49</v>
      </c>
      <c r="N22" s="69">
        <f t="shared" ca="1" si="4"/>
        <v>10</v>
      </c>
    </row>
    <row r="23" spans="1:14" x14ac:dyDescent="0.25">
      <c r="A23" s="68" t="s">
        <v>66</v>
      </c>
      <c r="B23" s="44" t="s">
        <v>67</v>
      </c>
      <c r="C23" s="97">
        <f t="shared" ca="1" si="0"/>
        <v>5441</v>
      </c>
      <c r="D23" s="47">
        <f t="shared" ca="1" si="2"/>
        <v>2044</v>
      </c>
      <c r="E23" s="40">
        <f t="shared" ca="1" si="3"/>
        <v>0.37566623782392944</v>
      </c>
      <c r="F23" s="43">
        <f t="shared" ca="1" si="4"/>
        <v>3397</v>
      </c>
      <c r="G23" s="42">
        <f t="shared" ca="1" si="4"/>
        <v>652</v>
      </c>
      <c r="H23" s="39">
        <f t="shared" ca="1" si="4"/>
        <v>359</v>
      </c>
      <c r="I23" s="39">
        <f t="shared" ca="1" si="4"/>
        <v>327</v>
      </c>
      <c r="J23" s="39">
        <f t="shared" ca="1" si="4"/>
        <v>191</v>
      </c>
      <c r="K23" s="39">
        <f t="shared" ca="1" si="4"/>
        <v>146</v>
      </c>
      <c r="L23" s="39">
        <f t="shared" ca="1" si="4"/>
        <v>135</v>
      </c>
      <c r="M23" s="39">
        <f t="shared" ca="1" si="4"/>
        <v>156</v>
      </c>
      <c r="N23" s="69">
        <f t="shared" ca="1" si="4"/>
        <v>144</v>
      </c>
    </row>
    <row r="24" spans="1:14" x14ac:dyDescent="0.25">
      <c r="A24" s="68" t="s">
        <v>68</v>
      </c>
      <c r="B24" s="44" t="s">
        <v>69</v>
      </c>
      <c r="C24" s="97">
        <f t="shared" ca="1" si="0"/>
        <v>1332</v>
      </c>
      <c r="D24" s="47">
        <f t="shared" ca="1" si="2"/>
        <v>450</v>
      </c>
      <c r="E24" s="40">
        <f t="shared" ca="1" si="3"/>
        <v>0.33783783783783783</v>
      </c>
      <c r="F24" s="43">
        <f t="shared" ca="1" si="4"/>
        <v>882</v>
      </c>
      <c r="G24" s="42">
        <f t="shared" ca="1" si="4"/>
        <v>42</v>
      </c>
      <c r="H24" s="39">
        <f t="shared" ca="1" si="4"/>
        <v>38</v>
      </c>
      <c r="I24" s="39">
        <f t="shared" ca="1" si="4"/>
        <v>30</v>
      </c>
      <c r="J24" s="39">
        <f t="shared" ca="1" si="4"/>
        <v>30</v>
      </c>
      <c r="K24" s="39">
        <f t="shared" ca="1" si="4"/>
        <v>33</v>
      </c>
      <c r="L24" s="39">
        <f t="shared" ca="1" si="4"/>
        <v>33</v>
      </c>
      <c r="M24" s="39">
        <f t="shared" ca="1" si="4"/>
        <v>35</v>
      </c>
      <c r="N24" s="69">
        <f t="shared" ca="1" si="4"/>
        <v>34</v>
      </c>
    </row>
    <row r="25" spans="1:14" x14ac:dyDescent="0.25">
      <c r="A25" s="68" t="s">
        <v>70</v>
      </c>
      <c r="B25" s="44" t="s">
        <v>71</v>
      </c>
      <c r="C25" s="97">
        <f t="shared" ca="1" si="0"/>
        <v>2020</v>
      </c>
      <c r="D25" s="47">
        <f t="shared" ca="1" si="2"/>
        <v>673</v>
      </c>
      <c r="E25" s="40">
        <f t="shared" ca="1" si="3"/>
        <v>0.33316831683168319</v>
      </c>
      <c r="F25" s="43">
        <f t="shared" ref="F25:N43" ca="1" si="5">SUMIFS(OFFSET(REL_D,,MATCH(F$2,IND,0)-1),REL_D,$B$3,OrgID,$B25)</f>
        <v>1347</v>
      </c>
      <c r="G25" s="42">
        <f t="shared" ca="1" si="5"/>
        <v>154</v>
      </c>
      <c r="H25" s="39">
        <f t="shared" ca="1" si="5"/>
        <v>108</v>
      </c>
      <c r="I25" s="39">
        <f t="shared" ca="1" si="5"/>
        <v>44</v>
      </c>
      <c r="J25" s="39">
        <f t="shared" ca="1" si="5"/>
        <v>43</v>
      </c>
      <c r="K25" s="39">
        <f t="shared" ca="1" si="5"/>
        <v>196</v>
      </c>
      <c r="L25" s="39">
        <f t="shared" ca="1" si="5"/>
        <v>120</v>
      </c>
      <c r="M25" s="39">
        <f t="shared" ca="1" si="5"/>
        <v>119</v>
      </c>
      <c r="N25" s="69">
        <f t="shared" ca="1" si="5"/>
        <v>75</v>
      </c>
    </row>
    <row r="26" spans="1:14" x14ac:dyDescent="0.25">
      <c r="A26" s="68" t="s">
        <v>72</v>
      </c>
      <c r="B26" s="44" t="s">
        <v>73</v>
      </c>
      <c r="C26" s="97">
        <f t="shared" ca="1" si="0"/>
        <v>5637</v>
      </c>
      <c r="D26" s="47">
        <f t="shared" ca="1" si="2"/>
        <v>1910</v>
      </c>
      <c r="E26" s="40">
        <f t="shared" ca="1" si="3"/>
        <v>0.33883271243569274</v>
      </c>
      <c r="F26" s="43">
        <f t="shared" ca="1" si="5"/>
        <v>3727</v>
      </c>
      <c r="G26" s="42">
        <f t="shared" ca="1" si="5"/>
        <v>20</v>
      </c>
      <c r="H26" s="39">
        <f t="shared" ca="1" si="5"/>
        <v>81</v>
      </c>
      <c r="I26" s="39">
        <f t="shared" ca="1" si="5"/>
        <v>38</v>
      </c>
      <c r="J26" s="39">
        <f t="shared" ca="1" si="5"/>
        <v>108</v>
      </c>
      <c r="K26" s="39">
        <f t="shared" ca="1" si="5"/>
        <v>20</v>
      </c>
      <c r="L26" s="39">
        <f t="shared" ref="L26:N43" ca="1" si="6">SUMIFS(OFFSET(REL_D,,MATCH(L$2,IND,0)-1),REL_D,$B$3,OrgID,$B26)</f>
        <v>81</v>
      </c>
      <c r="M26" s="39">
        <f t="shared" ca="1" si="6"/>
        <v>236</v>
      </c>
      <c r="N26" s="69">
        <f t="shared" ca="1" si="6"/>
        <v>0</v>
      </c>
    </row>
    <row r="27" spans="1:14" x14ac:dyDescent="0.25">
      <c r="A27" s="68" t="s">
        <v>74</v>
      </c>
      <c r="B27" s="44" t="s">
        <v>75</v>
      </c>
      <c r="C27" s="97">
        <f t="shared" ca="1" si="0"/>
        <v>4007</v>
      </c>
      <c r="D27" s="47">
        <f t="shared" ca="1" si="2"/>
        <v>1519</v>
      </c>
      <c r="E27" s="40">
        <f t="shared" ca="1" si="3"/>
        <v>0.37908659845270776</v>
      </c>
      <c r="F27" s="43">
        <f t="shared" ca="1" si="5"/>
        <v>2488</v>
      </c>
      <c r="G27" s="42">
        <f t="shared" ca="1" si="5"/>
        <v>5</v>
      </c>
      <c r="H27" s="39">
        <f t="shared" ca="1" si="5"/>
        <v>51</v>
      </c>
      <c r="I27" s="39">
        <f t="shared" ca="1" si="5"/>
        <v>5</v>
      </c>
      <c r="J27" s="39">
        <f t="shared" ca="1" si="5"/>
        <v>18</v>
      </c>
      <c r="K27" s="39">
        <f t="shared" ca="1" si="5"/>
        <v>3</v>
      </c>
      <c r="L27" s="39">
        <f t="shared" ca="1" si="6"/>
        <v>5</v>
      </c>
      <c r="M27" s="39">
        <f t="shared" ca="1" si="6"/>
        <v>1</v>
      </c>
      <c r="N27" s="69">
        <f t="shared" ca="1" si="6"/>
        <v>0</v>
      </c>
    </row>
    <row r="28" spans="1:14" x14ac:dyDescent="0.25">
      <c r="A28" s="68" t="s">
        <v>76</v>
      </c>
      <c r="B28" s="44" t="s">
        <v>77</v>
      </c>
      <c r="C28" s="97">
        <f t="shared" ca="1" si="0"/>
        <v>6031</v>
      </c>
      <c r="D28" s="47">
        <f t="shared" ca="1" si="2"/>
        <v>1788</v>
      </c>
      <c r="E28" s="40">
        <f t="shared" ca="1" si="3"/>
        <v>0.29646824738849281</v>
      </c>
      <c r="F28" s="43">
        <f t="shared" ca="1" si="5"/>
        <v>4243</v>
      </c>
      <c r="G28" s="42">
        <f t="shared" ca="1" si="5"/>
        <v>520</v>
      </c>
      <c r="H28" s="39">
        <f t="shared" ca="1" si="5"/>
        <v>147</v>
      </c>
      <c r="I28" s="39">
        <f t="shared" ca="1" si="5"/>
        <v>354</v>
      </c>
      <c r="J28" s="39">
        <f t="shared" ca="1" si="5"/>
        <v>239</v>
      </c>
      <c r="K28" s="39">
        <f t="shared" ca="1" si="5"/>
        <v>380</v>
      </c>
      <c r="L28" s="39">
        <f t="shared" ca="1" si="6"/>
        <v>239</v>
      </c>
      <c r="M28" s="39">
        <f t="shared" ca="1" si="6"/>
        <v>418</v>
      </c>
      <c r="N28" s="69">
        <f t="shared" ca="1" si="6"/>
        <v>288</v>
      </c>
    </row>
    <row r="29" spans="1:14" x14ac:dyDescent="0.25">
      <c r="A29" s="68" t="s">
        <v>78</v>
      </c>
      <c r="B29" s="44" t="s">
        <v>79</v>
      </c>
      <c r="C29" s="97">
        <f t="shared" ca="1" si="0"/>
        <v>1176</v>
      </c>
      <c r="D29" s="47">
        <f t="shared" ca="1" si="2"/>
        <v>467</v>
      </c>
      <c r="E29" s="40">
        <f t="shared" ca="1" si="3"/>
        <v>0.39710884353741499</v>
      </c>
      <c r="F29" s="43">
        <f t="shared" ca="1" si="5"/>
        <v>709</v>
      </c>
      <c r="G29" s="42">
        <f t="shared" ca="1" si="5"/>
        <v>31</v>
      </c>
      <c r="H29" s="39">
        <f t="shared" ca="1" si="5"/>
        <v>31</v>
      </c>
      <c r="I29" s="39">
        <f t="shared" ca="1" si="5"/>
        <v>33</v>
      </c>
      <c r="J29" s="39">
        <f t="shared" ca="1" si="5"/>
        <v>32</v>
      </c>
      <c r="K29" s="39">
        <f t="shared" ca="1" si="5"/>
        <v>8</v>
      </c>
      <c r="L29" s="39">
        <f t="shared" ca="1" si="6"/>
        <v>8</v>
      </c>
      <c r="M29" s="39">
        <f t="shared" ca="1" si="6"/>
        <v>21</v>
      </c>
      <c r="N29" s="69">
        <f t="shared" ca="1" si="6"/>
        <v>9</v>
      </c>
    </row>
    <row r="30" spans="1:14" x14ac:dyDescent="0.25">
      <c r="A30" s="68" t="s">
        <v>80</v>
      </c>
      <c r="B30" s="44" t="s">
        <v>81</v>
      </c>
      <c r="C30" s="97">
        <f t="shared" ca="1" si="0"/>
        <v>3385</v>
      </c>
      <c r="D30" s="47">
        <f t="shared" ca="1" si="2"/>
        <v>1165</v>
      </c>
      <c r="E30" s="40">
        <f t="shared" ca="1" si="3"/>
        <v>0.34416543574593794</v>
      </c>
      <c r="F30" s="43">
        <f t="shared" ca="1" si="5"/>
        <v>2220</v>
      </c>
      <c r="G30" s="42">
        <f t="shared" ca="1" si="5"/>
        <v>114</v>
      </c>
      <c r="H30" s="39">
        <f t="shared" ca="1" si="5"/>
        <v>85</v>
      </c>
      <c r="I30" s="39">
        <f t="shared" ca="1" si="5"/>
        <v>93</v>
      </c>
      <c r="J30" s="39">
        <f t="shared" ca="1" si="5"/>
        <v>77</v>
      </c>
      <c r="K30" s="39">
        <f t="shared" ca="1" si="5"/>
        <v>9</v>
      </c>
      <c r="L30" s="39">
        <f t="shared" ca="1" si="6"/>
        <v>2</v>
      </c>
      <c r="M30" s="39">
        <f t="shared" ca="1" si="6"/>
        <v>38</v>
      </c>
      <c r="N30" s="69">
        <f t="shared" ca="1" si="6"/>
        <v>5</v>
      </c>
    </row>
    <row r="31" spans="1:14" x14ac:dyDescent="0.25">
      <c r="A31" s="68" t="s">
        <v>82</v>
      </c>
      <c r="B31" s="44" t="s">
        <v>83</v>
      </c>
      <c r="C31" s="97">
        <f t="shared" ca="1" si="0"/>
        <v>3414</v>
      </c>
      <c r="D31" s="47">
        <f t="shared" ca="1" si="2"/>
        <v>925</v>
      </c>
      <c r="E31" s="40">
        <f t="shared" ca="1" si="3"/>
        <v>0.27094317516110134</v>
      </c>
      <c r="F31" s="43">
        <f t="shared" ca="1" si="5"/>
        <v>2489</v>
      </c>
      <c r="G31" s="42">
        <f t="shared" ca="1" si="5"/>
        <v>320</v>
      </c>
      <c r="H31" s="39">
        <f t="shared" ca="1" si="5"/>
        <v>50</v>
      </c>
      <c r="I31" s="39">
        <f t="shared" ca="1" si="5"/>
        <v>480</v>
      </c>
      <c r="J31" s="39">
        <f t="shared" ca="1" si="5"/>
        <v>57</v>
      </c>
      <c r="K31" s="39">
        <f t="shared" ca="1" si="5"/>
        <v>566</v>
      </c>
      <c r="L31" s="39">
        <f t="shared" ca="1" si="6"/>
        <v>78</v>
      </c>
      <c r="M31" s="39">
        <f t="shared" ca="1" si="6"/>
        <v>148</v>
      </c>
      <c r="N31" s="69">
        <f t="shared" ca="1" si="6"/>
        <v>142</v>
      </c>
    </row>
    <row r="32" spans="1:14" x14ac:dyDescent="0.25">
      <c r="A32" s="68" t="s">
        <v>84</v>
      </c>
      <c r="B32" s="44" t="s">
        <v>85</v>
      </c>
      <c r="C32" s="97">
        <f t="shared" ca="1" si="0"/>
        <v>2391</v>
      </c>
      <c r="D32" s="47">
        <f t="shared" ca="1" si="2"/>
        <v>687</v>
      </c>
      <c r="E32" s="40">
        <f t="shared" ca="1" si="3"/>
        <v>0.28732747804265996</v>
      </c>
      <c r="F32" s="43">
        <f t="shared" ca="1" si="5"/>
        <v>1704</v>
      </c>
      <c r="G32" s="42">
        <f t="shared" ca="1" si="5"/>
        <v>2</v>
      </c>
      <c r="H32" s="39">
        <f t="shared" ca="1" si="5"/>
        <v>1</v>
      </c>
      <c r="I32" s="39">
        <f t="shared" ca="1" si="5"/>
        <v>4</v>
      </c>
      <c r="J32" s="39">
        <f t="shared" ca="1" si="5"/>
        <v>1</v>
      </c>
      <c r="K32" s="39">
        <f t="shared" ca="1" si="5"/>
        <v>3</v>
      </c>
      <c r="L32" s="39">
        <f t="shared" ca="1" si="6"/>
        <v>1</v>
      </c>
      <c r="M32" s="39">
        <f t="shared" ca="1" si="6"/>
        <v>4</v>
      </c>
      <c r="N32" s="69">
        <f t="shared" ca="1" si="6"/>
        <v>0</v>
      </c>
    </row>
    <row r="33" spans="1:14" x14ac:dyDescent="0.25">
      <c r="A33" s="68" t="s">
        <v>86</v>
      </c>
      <c r="B33" s="44" t="s">
        <v>87</v>
      </c>
      <c r="C33" s="97">
        <f t="shared" ca="1" si="0"/>
        <v>2817</v>
      </c>
      <c r="D33" s="47">
        <f t="shared" ca="1" si="2"/>
        <v>934</v>
      </c>
      <c r="E33" s="40">
        <f t="shared" ca="1" si="3"/>
        <v>0.33155839545615906</v>
      </c>
      <c r="F33" s="43">
        <f t="shared" ca="1" si="5"/>
        <v>1883</v>
      </c>
      <c r="G33" s="42">
        <f t="shared" ca="1" si="5"/>
        <v>5</v>
      </c>
      <c r="H33" s="39">
        <f t="shared" ca="1" si="5"/>
        <v>1</v>
      </c>
      <c r="I33" s="39">
        <f t="shared" ca="1" si="5"/>
        <v>9</v>
      </c>
      <c r="J33" s="39">
        <f t="shared" ca="1" si="5"/>
        <v>7</v>
      </c>
      <c r="K33" s="39">
        <f t="shared" ca="1" si="5"/>
        <v>33</v>
      </c>
      <c r="L33" s="39">
        <f t="shared" ca="1" si="6"/>
        <v>18</v>
      </c>
      <c r="M33" s="39">
        <f t="shared" ca="1" si="6"/>
        <v>39</v>
      </c>
      <c r="N33" s="69">
        <f t="shared" ca="1" si="6"/>
        <v>23</v>
      </c>
    </row>
    <row r="34" spans="1:14" x14ac:dyDescent="0.25">
      <c r="A34" s="68" t="s">
        <v>88</v>
      </c>
      <c r="B34" s="44" t="s">
        <v>89</v>
      </c>
      <c r="C34" s="97">
        <f t="shared" ca="1" si="0"/>
        <v>2707</v>
      </c>
      <c r="D34" s="47">
        <f t="shared" ca="1" si="2"/>
        <v>687</v>
      </c>
      <c r="E34" s="40">
        <f t="shared" ca="1" si="3"/>
        <v>0.2537864794975988</v>
      </c>
      <c r="F34" s="43">
        <f t="shared" ca="1" si="5"/>
        <v>2020</v>
      </c>
      <c r="G34" s="42">
        <f t="shared" ca="1" si="5"/>
        <v>20</v>
      </c>
      <c r="H34" s="39">
        <f t="shared" ca="1" si="5"/>
        <v>17</v>
      </c>
      <c r="I34" s="39">
        <f t="shared" ca="1" si="5"/>
        <v>8</v>
      </c>
      <c r="J34" s="39">
        <f t="shared" ca="1" si="5"/>
        <v>7</v>
      </c>
      <c r="K34" s="39">
        <f t="shared" ca="1" si="5"/>
        <v>239</v>
      </c>
      <c r="L34" s="39">
        <f t="shared" ca="1" si="6"/>
        <v>31</v>
      </c>
      <c r="M34" s="39">
        <f t="shared" ca="1" si="6"/>
        <v>15</v>
      </c>
      <c r="N34" s="69">
        <f t="shared" ca="1" si="6"/>
        <v>15</v>
      </c>
    </row>
    <row r="35" spans="1:14" x14ac:dyDescent="0.25">
      <c r="A35" s="186" t="s">
        <v>90</v>
      </c>
      <c r="B35" s="44" t="s">
        <v>91</v>
      </c>
      <c r="C35" s="97">
        <f t="shared" ca="1" si="0"/>
        <v>2927</v>
      </c>
      <c r="D35" s="47">
        <f t="shared" ca="1" si="2"/>
        <v>1009</v>
      </c>
      <c r="E35" s="40">
        <f t="shared" ca="1" si="3"/>
        <v>0.34472155790912196</v>
      </c>
      <c r="F35" s="43">
        <f t="shared" ca="1" si="5"/>
        <v>1918</v>
      </c>
      <c r="G35" s="42">
        <f t="shared" ca="1" si="5"/>
        <v>25</v>
      </c>
      <c r="H35" s="39">
        <f t="shared" ca="1" si="5"/>
        <v>3</v>
      </c>
      <c r="I35" s="39">
        <f t="shared" ca="1" si="5"/>
        <v>12</v>
      </c>
      <c r="J35" s="39">
        <f t="shared" ca="1" si="5"/>
        <v>0</v>
      </c>
      <c r="K35" s="39">
        <f t="shared" ca="1" si="5"/>
        <v>36</v>
      </c>
      <c r="L35" s="39">
        <f t="shared" ca="1" si="6"/>
        <v>1</v>
      </c>
      <c r="M35" s="39">
        <f t="shared" ca="1" si="6"/>
        <v>41</v>
      </c>
      <c r="N35" s="69">
        <f t="shared" ca="1" si="6"/>
        <v>9</v>
      </c>
    </row>
    <row r="36" spans="1:14" x14ac:dyDescent="0.25">
      <c r="A36" s="68" t="s">
        <v>92</v>
      </c>
      <c r="B36" s="44" t="s">
        <v>93</v>
      </c>
      <c r="C36" s="97">
        <f t="shared" ca="1" si="0"/>
        <v>2913</v>
      </c>
      <c r="D36" s="47">
        <f t="shared" ca="1" si="2"/>
        <v>932</v>
      </c>
      <c r="E36" s="40">
        <f t="shared" ca="1" si="3"/>
        <v>0.31994507380707177</v>
      </c>
      <c r="F36" s="43">
        <f t="shared" ca="1" si="5"/>
        <v>1981</v>
      </c>
      <c r="G36" s="42">
        <f t="shared" ca="1" si="5"/>
        <v>24</v>
      </c>
      <c r="H36" s="39">
        <f t="shared" ca="1" si="5"/>
        <v>23</v>
      </c>
      <c r="I36" s="39">
        <f t="shared" ca="1" si="5"/>
        <v>50</v>
      </c>
      <c r="J36" s="39">
        <f t="shared" ca="1" si="5"/>
        <v>23</v>
      </c>
      <c r="K36" s="39">
        <f t="shared" ref="K36:K43" ca="1" si="7">SUMIFS(OFFSET(REL_D,,MATCH(K$2,IND,0)-1),REL_D,$B$3,OrgID,$B36)</f>
        <v>33</v>
      </c>
      <c r="L36" s="39">
        <f t="shared" ca="1" si="6"/>
        <v>16</v>
      </c>
      <c r="M36" s="39">
        <f t="shared" ca="1" si="6"/>
        <v>63</v>
      </c>
      <c r="N36" s="69">
        <f t="shared" ca="1" si="6"/>
        <v>53</v>
      </c>
    </row>
    <row r="37" spans="1:14" x14ac:dyDescent="0.25">
      <c r="A37" s="68" t="s">
        <v>94</v>
      </c>
      <c r="B37" s="44" t="s">
        <v>95</v>
      </c>
      <c r="C37" s="97">
        <f t="shared" ca="1" si="0"/>
        <v>2198</v>
      </c>
      <c r="D37" s="47">
        <f t="shared" ca="1" si="2"/>
        <v>594</v>
      </c>
      <c r="E37" s="40">
        <f t="shared" ca="1" si="3"/>
        <v>0.27024567788899001</v>
      </c>
      <c r="F37" s="43">
        <f t="shared" ca="1" si="5"/>
        <v>1604</v>
      </c>
      <c r="G37" s="42">
        <f t="shared" ca="1" si="5"/>
        <v>6</v>
      </c>
      <c r="H37" s="39">
        <f t="shared" ca="1" si="5"/>
        <v>5</v>
      </c>
      <c r="I37" s="39">
        <f t="shared" ca="1" si="5"/>
        <v>4</v>
      </c>
      <c r="J37" s="39">
        <f t="shared" ca="1" si="5"/>
        <v>4</v>
      </c>
      <c r="K37" s="39">
        <f t="shared" ca="1" si="7"/>
        <v>1265</v>
      </c>
      <c r="L37" s="39">
        <f t="shared" ca="1" si="6"/>
        <v>15</v>
      </c>
      <c r="M37" s="39">
        <f t="shared" ca="1" si="6"/>
        <v>7</v>
      </c>
      <c r="N37" s="69">
        <f t="shared" ca="1" si="6"/>
        <v>6</v>
      </c>
    </row>
    <row r="38" spans="1:14" x14ac:dyDescent="0.25">
      <c r="A38" s="68" t="s">
        <v>96</v>
      </c>
      <c r="B38" s="44" t="s">
        <v>97</v>
      </c>
      <c r="C38" s="97">
        <f t="shared" ca="1" si="0"/>
        <v>2557</v>
      </c>
      <c r="D38" s="47">
        <f t="shared" ca="1" si="2"/>
        <v>849</v>
      </c>
      <c r="E38" s="40">
        <f t="shared" ca="1" si="3"/>
        <v>0.33202972233085648</v>
      </c>
      <c r="F38" s="43">
        <f t="shared" ca="1" si="5"/>
        <v>1708</v>
      </c>
      <c r="G38" s="42">
        <f t="shared" ca="1" si="5"/>
        <v>22</v>
      </c>
      <c r="H38" s="39">
        <f t="shared" ca="1" si="5"/>
        <v>20</v>
      </c>
      <c r="I38" s="39">
        <f t="shared" ca="1" si="5"/>
        <v>37</v>
      </c>
      <c r="J38" s="39">
        <f t="shared" ca="1" si="5"/>
        <v>32</v>
      </c>
      <c r="K38" s="39">
        <f t="shared" ca="1" si="7"/>
        <v>234</v>
      </c>
      <c r="L38" s="39">
        <f t="shared" ca="1" si="6"/>
        <v>57</v>
      </c>
      <c r="M38" s="39">
        <f t="shared" ca="1" si="6"/>
        <v>38</v>
      </c>
      <c r="N38" s="69">
        <f t="shared" ca="1" si="6"/>
        <v>33</v>
      </c>
    </row>
    <row r="39" spans="1:14" x14ac:dyDescent="0.25">
      <c r="A39" s="68" t="s">
        <v>98</v>
      </c>
      <c r="B39" s="44" t="s">
        <v>99</v>
      </c>
      <c r="C39" s="97">
        <f t="shared" ca="1" si="0"/>
        <v>5708</v>
      </c>
      <c r="D39" s="47">
        <f t="shared" ca="1" si="2"/>
        <v>1795</v>
      </c>
      <c r="E39" s="40">
        <f t="shared" ca="1" si="3"/>
        <v>0.31447091800981081</v>
      </c>
      <c r="F39" s="43">
        <f t="shared" ca="1" si="5"/>
        <v>3913</v>
      </c>
      <c r="G39" s="42">
        <f t="shared" ca="1" si="5"/>
        <v>100</v>
      </c>
      <c r="H39" s="39">
        <f t="shared" ca="1" si="5"/>
        <v>56</v>
      </c>
      <c r="I39" s="39">
        <f t="shared" ca="1" si="5"/>
        <v>177</v>
      </c>
      <c r="J39" s="39">
        <f t="shared" ca="1" si="5"/>
        <v>102</v>
      </c>
      <c r="K39" s="39">
        <f t="shared" ca="1" si="7"/>
        <v>1097</v>
      </c>
      <c r="L39" s="39">
        <f t="shared" ca="1" si="6"/>
        <v>121</v>
      </c>
      <c r="M39" s="39">
        <f t="shared" ca="1" si="6"/>
        <v>492</v>
      </c>
      <c r="N39" s="69">
        <f t="shared" ca="1" si="6"/>
        <v>248</v>
      </c>
    </row>
    <row r="40" spans="1:14" x14ac:dyDescent="0.25">
      <c r="A40" s="68" t="s">
        <v>100</v>
      </c>
      <c r="B40" s="44" t="s">
        <v>101</v>
      </c>
      <c r="C40" s="97">
        <f t="shared" ca="1" si="0"/>
        <v>1708</v>
      </c>
      <c r="D40" s="47">
        <f t="shared" ca="1" si="2"/>
        <v>412</v>
      </c>
      <c r="E40" s="40">
        <f t="shared" ca="1" si="3"/>
        <v>0.24121779859484777</v>
      </c>
      <c r="F40" s="43">
        <f t="shared" ca="1" si="5"/>
        <v>1296</v>
      </c>
      <c r="G40" s="42">
        <f t="shared" ca="1" si="5"/>
        <v>500</v>
      </c>
      <c r="H40" s="39">
        <f t="shared" ca="1" si="5"/>
        <v>35</v>
      </c>
      <c r="I40" s="39">
        <f t="shared" ca="1" si="5"/>
        <v>102</v>
      </c>
      <c r="J40" s="39">
        <f t="shared" ca="1" si="5"/>
        <v>100</v>
      </c>
      <c r="K40" s="39">
        <f t="shared" ca="1" si="7"/>
        <v>42</v>
      </c>
      <c r="L40" s="39">
        <f t="shared" ca="1" si="6"/>
        <v>41</v>
      </c>
      <c r="M40" s="39">
        <f t="shared" ca="1" si="6"/>
        <v>24</v>
      </c>
      <c r="N40" s="69">
        <f t="shared" ca="1" si="6"/>
        <v>18</v>
      </c>
    </row>
    <row r="41" spans="1:14" x14ac:dyDescent="0.25">
      <c r="A41" s="68" t="s">
        <v>102</v>
      </c>
      <c r="B41" s="44" t="s">
        <v>103</v>
      </c>
      <c r="C41" s="97">
        <f t="shared" ca="1" si="0"/>
        <v>3755</v>
      </c>
      <c r="D41" s="47">
        <f t="shared" ca="1" si="2"/>
        <v>1250</v>
      </c>
      <c r="E41" s="40">
        <f t="shared" ca="1" si="3"/>
        <v>0.33288948069241014</v>
      </c>
      <c r="F41" s="43">
        <f t="shared" ca="1" si="5"/>
        <v>2505</v>
      </c>
      <c r="G41" s="42">
        <f t="shared" ca="1" si="5"/>
        <v>26</v>
      </c>
      <c r="H41" s="39">
        <f t="shared" ca="1" si="5"/>
        <v>25</v>
      </c>
      <c r="I41" s="39">
        <f t="shared" ca="1" si="5"/>
        <v>26</v>
      </c>
      <c r="J41" s="39">
        <f t="shared" ca="1" si="5"/>
        <v>22</v>
      </c>
      <c r="K41" s="39">
        <f t="shared" ca="1" si="7"/>
        <v>23</v>
      </c>
      <c r="L41" s="39">
        <f t="shared" ca="1" si="6"/>
        <v>24</v>
      </c>
      <c r="M41" s="39">
        <f t="shared" ca="1" si="6"/>
        <v>29</v>
      </c>
      <c r="N41" s="69">
        <f t="shared" ca="1" si="6"/>
        <v>28</v>
      </c>
    </row>
    <row r="42" spans="1:14" x14ac:dyDescent="0.25">
      <c r="A42" s="68" t="s">
        <v>104</v>
      </c>
      <c r="B42" s="44" t="s">
        <v>105</v>
      </c>
      <c r="C42" s="97">
        <f t="shared" ca="1" si="0"/>
        <v>2835</v>
      </c>
      <c r="D42" s="47">
        <f t="shared" ca="1" si="2"/>
        <v>880</v>
      </c>
      <c r="E42" s="40">
        <f t="shared" ca="1" si="3"/>
        <v>0.31040564373897706</v>
      </c>
      <c r="F42" s="43">
        <f t="shared" ca="1" si="5"/>
        <v>1955</v>
      </c>
      <c r="G42" s="42">
        <f t="shared" ca="1" si="5"/>
        <v>2</v>
      </c>
      <c r="H42" s="39">
        <f t="shared" ca="1" si="5"/>
        <v>59</v>
      </c>
      <c r="I42" s="39">
        <f t="shared" ca="1" si="5"/>
        <v>5</v>
      </c>
      <c r="J42" s="39">
        <f t="shared" ca="1" si="5"/>
        <v>41</v>
      </c>
      <c r="K42" s="39">
        <f t="shared" ca="1" si="7"/>
        <v>1</v>
      </c>
      <c r="L42" s="39">
        <f t="shared" ca="1" si="6"/>
        <v>22</v>
      </c>
      <c r="M42" s="39">
        <f t="shared" ca="1" si="6"/>
        <v>1</v>
      </c>
      <c r="N42" s="69">
        <f t="shared" ca="1" si="6"/>
        <v>0</v>
      </c>
    </row>
    <row r="43" spans="1:14" x14ac:dyDescent="0.25">
      <c r="A43" s="68" t="s">
        <v>15</v>
      </c>
      <c r="B43" s="44" t="s">
        <v>106</v>
      </c>
      <c r="C43" s="97">
        <f t="shared" ca="1" si="0"/>
        <v>6867</v>
      </c>
      <c r="D43" s="47">
        <f t="shared" ca="1" si="2"/>
        <v>2284</v>
      </c>
      <c r="E43" s="40">
        <f t="shared" ca="1" si="3"/>
        <v>0.33260521333915827</v>
      </c>
      <c r="F43" s="43">
        <f t="shared" ca="1" si="5"/>
        <v>4583</v>
      </c>
      <c r="G43" s="42">
        <f t="shared" ca="1" si="5"/>
        <v>7</v>
      </c>
      <c r="H43" s="39">
        <f t="shared" ca="1" si="5"/>
        <v>13</v>
      </c>
      <c r="I43" s="39">
        <f t="shared" ca="1" si="5"/>
        <v>8</v>
      </c>
      <c r="J43" s="39">
        <f t="shared" ca="1" si="5"/>
        <v>80</v>
      </c>
      <c r="K43" s="39">
        <f t="shared" ca="1" si="7"/>
        <v>16</v>
      </c>
      <c r="L43" s="39">
        <f t="shared" ca="1" si="6"/>
        <v>80</v>
      </c>
      <c r="M43" s="39">
        <f t="shared" ca="1" si="6"/>
        <v>20</v>
      </c>
      <c r="N43" s="69">
        <f t="shared" ca="1" si="6"/>
        <v>0</v>
      </c>
    </row>
    <row r="44" spans="1:14" ht="15.75" thickBot="1" x14ac:dyDescent="0.3">
      <c r="A44" s="75" t="s">
        <v>107</v>
      </c>
      <c r="B44" s="76"/>
      <c r="C44" s="77">
        <f ca="1">SUM(C5:C43)</f>
        <v>126198</v>
      </c>
      <c r="D44" s="78">
        <f ca="1">SUM(D5:D43)</f>
        <v>41463</v>
      </c>
      <c r="E44" s="79">
        <f t="shared" ref="E44" ca="1" si="8">D44/C44</f>
        <v>0.32855512765653971</v>
      </c>
      <c r="F44" s="80">
        <f t="shared" ref="F44:N44" ca="1" si="9">SUM(F5:F43)</f>
        <v>84735</v>
      </c>
      <c r="G44" s="1">
        <f t="shared" ca="1" si="9"/>
        <v>5532</v>
      </c>
      <c r="H44" s="1">
        <f t="shared" ca="1" si="9"/>
        <v>2440</v>
      </c>
      <c r="I44" s="1">
        <f t="shared" ca="1" si="9"/>
        <v>5521</v>
      </c>
      <c r="J44" s="1">
        <f t="shared" ca="1" si="9"/>
        <v>2573</v>
      </c>
      <c r="K44" s="1">
        <f t="shared" ca="1" si="9"/>
        <v>7369</v>
      </c>
      <c r="L44" s="1">
        <f t="shared" ca="1" si="9"/>
        <v>2437</v>
      </c>
      <c r="M44" s="1">
        <f t="shared" ca="1" si="9"/>
        <v>7132</v>
      </c>
      <c r="N44" s="70">
        <f t="shared" ca="1" si="9"/>
        <v>2805</v>
      </c>
    </row>
    <row r="45" spans="1:14" s="1" customFormat="1" x14ac:dyDescent="0.25">
      <c r="A45" s="81" t="s">
        <v>19</v>
      </c>
      <c r="B45" s="182" t="s">
        <v>20</v>
      </c>
      <c r="C45" s="183">
        <v>99774</v>
      </c>
      <c r="D45" s="183">
        <v>27747</v>
      </c>
      <c r="E45" s="82">
        <f>D45/C45</f>
        <v>0.27809850261591196</v>
      </c>
      <c r="F45" s="113">
        <f>C45-D45</f>
        <v>72027</v>
      </c>
      <c r="G45" s="83"/>
      <c r="H45" s="83"/>
      <c r="I45" s="83"/>
      <c r="J45" s="83"/>
      <c r="K45" s="83"/>
      <c r="L45" s="83"/>
      <c r="M45" s="83"/>
      <c r="N45" s="84"/>
    </row>
    <row r="46" spans="1:14" ht="15.75" thickBot="1" x14ac:dyDescent="0.3">
      <c r="A46" s="85" t="s">
        <v>21</v>
      </c>
      <c r="B46" s="86"/>
      <c r="C46" s="87">
        <f ca="1">C44-C45</f>
        <v>26424</v>
      </c>
      <c r="D46" s="88">
        <f t="shared" ref="D46:E46" ca="1" si="10">D44-D45</f>
        <v>13716</v>
      </c>
      <c r="E46" s="89">
        <f t="shared" ca="1" si="10"/>
        <v>5.0456625040627756E-2</v>
      </c>
      <c r="F46" s="184">
        <f ca="1">F44-F45</f>
        <v>12708</v>
      </c>
      <c r="G46" s="90"/>
      <c r="H46" s="90"/>
      <c r="I46" s="90"/>
      <c r="J46" s="90"/>
      <c r="K46" s="90"/>
      <c r="L46" s="90"/>
      <c r="M46" s="90"/>
      <c r="N46" s="91"/>
    </row>
    <row r="47" spans="1:14" x14ac:dyDescent="0.25">
      <c r="A47" s="110" t="s">
        <v>108</v>
      </c>
      <c r="B47" s="111">
        <f>B3</f>
        <v>45017</v>
      </c>
      <c r="C47" s="71"/>
      <c r="D47" s="112"/>
      <c r="E47" s="71"/>
      <c r="F47" s="71"/>
      <c r="G47" s="71"/>
      <c r="H47" s="71"/>
      <c r="I47" s="71"/>
      <c r="J47" s="71"/>
      <c r="K47" s="71"/>
      <c r="L47" s="71"/>
      <c r="M47" s="71"/>
      <c r="N47" s="72"/>
    </row>
    <row r="48" spans="1:14" ht="26.25" x14ac:dyDescent="0.4">
      <c r="A48" s="94"/>
      <c r="B48" s="92"/>
      <c r="C48" s="92"/>
      <c r="D48" s="92"/>
      <c r="E48" s="93"/>
      <c r="F48" s="93"/>
      <c r="G48" s="71"/>
      <c r="H48" s="71"/>
      <c r="I48" s="71"/>
      <c r="J48" s="71"/>
      <c r="K48" s="71"/>
      <c r="L48" s="71"/>
      <c r="M48" s="71"/>
      <c r="N48" s="72"/>
    </row>
    <row r="49" spans="1:14" ht="15.75" thickBot="1" x14ac:dyDescent="0.3">
      <c r="A49" s="73"/>
      <c r="B49" s="73"/>
      <c r="C49" s="73"/>
      <c r="D49" s="73"/>
      <c r="E49" s="73"/>
      <c r="F49" s="73"/>
      <c r="G49" s="73"/>
      <c r="H49" s="73"/>
      <c r="I49" s="73"/>
      <c r="J49" s="73"/>
      <c r="K49" s="73"/>
      <c r="L49" s="73"/>
      <c r="M49" s="73"/>
      <c r="N49" s="74"/>
    </row>
    <row r="50" spans="1:14" ht="15.75" thickTop="1" x14ac:dyDescent="0.25"/>
  </sheetData>
  <conditionalFormatting sqref="B3:E4 F3:F10 E44:E45 A45:A46">
    <cfRule type="expression" dxfId="9" priority="7">
      <formula>ISERROR(A3)</formula>
    </cfRule>
  </conditionalFormatting>
  <conditionalFormatting sqref="B5:N44">
    <cfRule type="expression" dxfId="8" priority="1">
      <formula>ISERROR(B5)</formula>
    </cfRule>
  </conditionalFormatting>
  <conditionalFormatting sqref="F45:N45">
    <cfRule type="expression" dxfId="7" priority="6">
      <formula>ISERROR(F45)</formula>
    </cfRule>
  </conditionalFormatting>
  <conditionalFormatting sqref="G3:N4">
    <cfRule type="expression" dxfId="6" priority="27">
      <formula>ISERROR(G3)</formula>
    </cfRule>
  </conditionalFormatting>
  <dataValidations count="1">
    <dataValidation type="list" allowBlank="1" showInputMessage="1" showErrorMessage="1" sqref="A3" xr:uid="{00000000-0002-0000-0100-000000000000}">
      <formula1>QSelection</formula1>
    </dataValidation>
  </dataValidations>
  <pageMargins left="0.7" right="0.7" top="0.75" bottom="0.75" header="0.3" footer="0.3"/>
  <pageSetup paperSize="9" orientation="portrait" r:id="rId1"/>
  <ignoredErrors>
    <ignoredError sqref="H4:N4 E44" formula="1"/>
  </ignoredError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4" tint="0.39997558519241921"/>
  </sheetPr>
  <dimension ref="A1:Q19"/>
  <sheetViews>
    <sheetView showGridLines="0" zoomScale="80" zoomScaleNormal="80" workbookViewId="0">
      <selection activeCell="K34" sqref="K34"/>
    </sheetView>
  </sheetViews>
  <sheetFormatPr defaultRowHeight="15" x14ac:dyDescent="0.25"/>
  <cols>
    <col min="1" max="1" width="46.5703125" customWidth="1"/>
    <col min="2" max="2" width="12.42578125" customWidth="1"/>
    <col min="3" max="4" width="14.42578125" hidden="1" customWidth="1"/>
    <col min="5" max="5" width="15.7109375" hidden="1" customWidth="1"/>
    <col min="6" max="6" width="14.42578125" hidden="1" customWidth="1"/>
    <col min="7" max="14" width="19.28515625" customWidth="1"/>
    <col min="17" max="17" width="10.85546875" bestFit="1" customWidth="1"/>
  </cols>
  <sheetData>
    <row r="1" spans="1:17" ht="29.25" thickTop="1" x14ac:dyDescent="0.25">
      <c r="A1" s="58" t="str">
        <f>"Waltham Forest: NHS Health Check - Public Health Outcome Framework (2022-2023 "&amp;A3&amp;")"</f>
        <v>Waltham Forest: NHS Health Check - Public Health Outcome Framework (2022-2023 Quarter 4)</v>
      </c>
      <c r="B1" s="59"/>
      <c r="C1" s="60"/>
      <c r="D1" s="60"/>
      <c r="E1" s="60"/>
      <c r="F1" s="60"/>
      <c r="G1" s="59"/>
      <c r="H1" s="59"/>
      <c r="I1" s="59"/>
      <c r="J1" s="59"/>
      <c r="K1" s="59"/>
      <c r="L1" s="59"/>
      <c r="M1" s="59"/>
      <c r="N1" s="61"/>
    </row>
    <row r="2" spans="1:17" ht="15.75" thickBot="1" x14ac:dyDescent="0.3">
      <c r="A2" s="62"/>
      <c r="C2" s="41" t="s">
        <v>1</v>
      </c>
      <c r="D2" s="41" t="s">
        <v>2</v>
      </c>
      <c r="E2" s="37"/>
      <c r="F2" s="38" t="s">
        <v>2</v>
      </c>
      <c r="G2" s="38" t="s">
        <v>3</v>
      </c>
      <c r="H2" s="38" t="s">
        <v>4</v>
      </c>
      <c r="I2" s="38" t="s">
        <v>5</v>
      </c>
      <c r="J2" s="38" t="s">
        <v>6</v>
      </c>
      <c r="K2" s="38" t="s">
        <v>7</v>
      </c>
      <c r="L2" s="38" t="s">
        <v>8</v>
      </c>
      <c r="M2" s="38" t="s">
        <v>9</v>
      </c>
      <c r="N2" s="63" t="s">
        <v>10</v>
      </c>
    </row>
    <row r="3" spans="1:17" ht="15.75" thickBot="1" x14ac:dyDescent="0.3">
      <c r="A3" s="64" t="s">
        <v>162</v>
      </c>
      <c r="B3" s="57">
        <f>VLOOKUP(A3,Selection[],2,0)</f>
        <v>45017</v>
      </c>
      <c r="C3" s="65"/>
      <c r="D3" s="66"/>
      <c r="E3" s="66"/>
      <c r="F3" s="55"/>
      <c r="G3" s="2" t="str">
        <f>"Quarter "&amp;RIGHT(G$2,1)</f>
        <v>Quarter 1</v>
      </c>
      <c r="H3" s="45"/>
      <c r="I3" s="36" t="str">
        <f>"Quarter "&amp;RIGHT(I$2,1)</f>
        <v>Quarter 2</v>
      </c>
      <c r="J3" s="46"/>
      <c r="K3" s="2" t="str">
        <f>"Quarter "&amp;RIGHT(K$2,1)</f>
        <v>Quarter 3</v>
      </c>
      <c r="L3" s="45"/>
      <c r="M3" s="36" t="str">
        <f>"Quarter "&amp;RIGHT(M$2,1)</f>
        <v>Quarter 4</v>
      </c>
      <c r="N3" s="67"/>
    </row>
    <row r="4" spans="1:17" ht="60.75" thickBot="1" x14ac:dyDescent="0.3">
      <c r="A4" s="103" t="s">
        <v>28</v>
      </c>
      <c r="B4" s="104" t="s">
        <v>29</v>
      </c>
      <c r="C4" s="105" t="s">
        <v>11</v>
      </c>
      <c r="D4" s="105" t="s">
        <v>12</v>
      </c>
      <c r="E4" s="105" t="s">
        <v>13</v>
      </c>
      <c r="F4" s="106" t="str">
        <f>"Total Eligible Pop (TEP) @"&amp;TEXT(B3,"dd/mm/yyyy")</f>
        <v>Total Eligible Pop (TEP) @01/04/2023</v>
      </c>
      <c r="G4" s="107" t="str">
        <f>"NHS Health Checks Offered "&amp;RIGHT(G2,2)</f>
        <v>NHS Health Checks Offered Q1</v>
      </c>
      <c r="H4" s="108" t="str">
        <f>"NHS Health Checks Done "&amp;RIGHT(H2,2)</f>
        <v>NHS Health Checks Done Q1</v>
      </c>
      <c r="I4" s="107" t="str">
        <f>"NHS Health Checks Offered "&amp;RIGHT(I2,2)</f>
        <v>NHS Health Checks Offered Q2</v>
      </c>
      <c r="J4" s="108" t="str">
        <f>"NHS Health Checks Done "&amp;RIGHT(J2,2)</f>
        <v>NHS Health Checks Done Q2</v>
      </c>
      <c r="K4" s="107" t="str">
        <f>"NHS Health Checks Offered "&amp;RIGHT(K2,2)</f>
        <v>NHS Health Checks Offered Q3</v>
      </c>
      <c r="L4" s="108" t="str">
        <f>"NHS Health Checks Done "&amp;RIGHT(L2,2)</f>
        <v>NHS Health Checks Done Q3</v>
      </c>
      <c r="M4" s="107" t="str">
        <f>"NHS Health Checks Offered "&amp;RIGHT(M2,2)</f>
        <v>NHS Health Checks Offered Q4</v>
      </c>
      <c r="N4" s="109" t="str">
        <f>"NHS Health Checks Done "&amp;RIGHT(N2,2)</f>
        <v>NHS Health Checks Done Q4</v>
      </c>
      <c r="Q4" s="24"/>
    </row>
    <row r="5" spans="1:17" ht="15.75" thickTop="1" x14ac:dyDescent="0.25">
      <c r="A5" s="68" t="s">
        <v>36</v>
      </c>
      <c r="B5" s="44" t="s">
        <v>37</v>
      </c>
      <c r="C5" s="42">
        <f t="shared" ref="C5:C14" ca="1" si="0">SUMIFS(OFFSET(REL_D,,MATCH(C$2,IND,0)-1),REL_D,$B$3,OrgID,$B5)</f>
        <v>1576</v>
      </c>
      <c r="D5" s="47">
        <f t="shared" ref="D5:D13" ca="1" si="1">C5-SUMIFS(OFFSET(REL_D,,MATCH(D$2,IND,0)-1),REL_D,$B$3,OrgID,$B5)</f>
        <v>617</v>
      </c>
      <c r="E5" s="40">
        <f t="shared" ref="E5:E13" ca="1" si="2">IFERROR(D5/C5,"-")</f>
        <v>0.39149746192893403</v>
      </c>
      <c r="F5" s="43">
        <f t="shared" ref="F5:N7" ca="1" si="3">SUMIFS(OFFSET(REL_D,,MATCH(F$2,IND,0)-1),REL_D,$B$3,OrgID,$B5)</f>
        <v>959</v>
      </c>
      <c r="G5" s="42">
        <f t="shared" ca="1" si="3"/>
        <v>27</v>
      </c>
      <c r="H5" s="39">
        <f t="shared" ca="1" si="3"/>
        <v>27</v>
      </c>
      <c r="I5" s="39">
        <f t="shared" ca="1" si="3"/>
        <v>53</v>
      </c>
      <c r="J5" s="39">
        <f t="shared" ca="1" si="3"/>
        <v>44</v>
      </c>
      <c r="K5" s="39">
        <f t="shared" ca="1" si="3"/>
        <v>33</v>
      </c>
      <c r="L5" s="39">
        <f t="shared" ca="1" si="3"/>
        <v>11</v>
      </c>
      <c r="M5" s="39">
        <f t="shared" ca="1" si="3"/>
        <v>42</v>
      </c>
      <c r="N5" s="69">
        <f t="shared" ca="1" si="3"/>
        <v>34</v>
      </c>
    </row>
    <row r="6" spans="1:17" x14ac:dyDescent="0.25">
      <c r="A6" s="68" t="s">
        <v>109</v>
      </c>
      <c r="B6" s="44" t="s">
        <v>110</v>
      </c>
      <c r="C6" s="42">
        <f t="shared" ca="1" si="0"/>
        <v>0</v>
      </c>
      <c r="D6" s="47">
        <f t="shared" ref="D6" ca="1" si="4">C6-SUMIFS(OFFSET(REL_D,,MATCH(D$2,IND,0)-1),REL_D,$B$3,OrgID,$B6)</f>
        <v>0</v>
      </c>
      <c r="E6" s="40" t="str">
        <f t="shared" ref="E6" ca="1" si="5">IFERROR(D6/C6,"-")</f>
        <v>-</v>
      </c>
      <c r="F6" s="43">
        <f t="shared" ca="1" si="3"/>
        <v>0</v>
      </c>
      <c r="G6" s="42">
        <f ca="1">SUMIFS(OFFSET(REL_D,,MATCH(G$2,IND,0)-1),REL_D,$B$3,OrgID,$B6)</f>
        <v>0</v>
      </c>
      <c r="H6" s="39">
        <f t="shared" ca="1" si="3"/>
        <v>0</v>
      </c>
      <c r="I6" s="39">
        <f t="shared" ca="1" si="3"/>
        <v>0</v>
      </c>
      <c r="J6" s="39">
        <f t="shared" ca="1" si="3"/>
        <v>0</v>
      </c>
      <c r="K6" s="39">
        <f t="shared" ca="1" si="3"/>
        <v>0</v>
      </c>
      <c r="L6" s="39">
        <f t="shared" ca="1" si="3"/>
        <v>0</v>
      </c>
      <c r="M6" s="39">
        <f t="shared" ca="1" si="3"/>
        <v>0</v>
      </c>
      <c r="N6" s="69">
        <f t="shared" ca="1" si="3"/>
        <v>0</v>
      </c>
    </row>
    <row r="7" spans="1:17" x14ac:dyDescent="0.25">
      <c r="A7" s="68" t="s">
        <v>111</v>
      </c>
      <c r="B7" s="44" t="s">
        <v>43</v>
      </c>
      <c r="C7" s="42">
        <f t="shared" ca="1" si="0"/>
        <v>2063</v>
      </c>
      <c r="D7" s="47">
        <f ca="1">C7-SUMIFS(OFFSET(REL_D,,MATCH(D$2,IND,0)-1),REL_D,$B$3,OrgID,$B7)</f>
        <v>736</v>
      </c>
      <c r="E7" s="40">
        <f t="shared" ca="1" si="2"/>
        <v>0.35676199709161416</v>
      </c>
      <c r="F7" s="43">
        <f t="shared" ca="1" si="3"/>
        <v>1327</v>
      </c>
      <c r="G7" s="42">
        <f t="shared" ca="1" si="3"/>
        <v>0</v>
      </c>
      <c r="H7" s="39">
        <f t="shared" ca="1" si="3"/>
        <v>2</v>
      </c>
      <c r="I7" s="39">
        <f t="shared" ca="1" si="3"/>
        <v>0</v>
      </c>
      <c r="J7" s="39">
        <f t="shared" ca="1" si="3"/>
        <v>1</v>
      </c>
      <c r="K7" s="39">
        <f t="shared" ca="1" si="3"/>
        <v>1</v>
      </c>
      <c r="L7" s="39">
        <f t="shared" ca="1" si="3"/>
        <v>2</v>
      </c>
      <c r="M7" s="39">
        <f t="shared" ca="1" si="3"/>
        <v>0</v>
      </c>
      <c r="N7" s="69">
        <f t="shared" ca="1" si="3"/>
        <v>0</v>
      </c>
    </row>
    <row r="8" spans="1:17" x14ac:dyDescent="0.25">
      <c r="A8" s="68" t="s">
        <v>112</v>
      </c>
      <c r="B8" s="44" t="s">
        <v>113</v>
      </c>
      <c r="C8" s="42">
        <f t="shared" ca="1" si="0"/>
        <v>0</v>
      </c>
      <c r="D8" s="47">
        <f t="shared" ca="1" si="1"/>
        <v>0</v>
      </c>
      <c r="E8" s="40" t="str">
        <f t="shared" ca="1" si="2"/>
        <v>-</v>
      </c>
      <c r="F8" s="43">
        <f t="shared" ref="F8:N12" ca="1" si="6">SUMIFS(OFFSET(REL_D,,MATCH(F$2,IND,0)-1),REL_D,$B$3,OrgID,$B8)</f>
        <v>0</v>
      </c>
      <c r="G8" s="42">
        <f t="shared" ca="1" si="6"/>
        <v>0</v>
      </c>
      <c r="H8" s="39">
        <f t="shared" ca="1" si="6"/>
        <v>0</v>
      </c>
      <c r="I8" s="39">
        <f t="shared" ca="1" si="6"/>
        <v>0</v>
      </c>
      <c r="J8" s="39">
        <f t="shared" ca="1" si="6"/>
        <v>0</v>
      </c>
      <c r="K8" s="39">
        <f t="shared" ca="1" si="6"/>
        <v>0</v>
      </c>
      <c r="L8" s="39">
        <f t="shared" ca="1" si="6"/>
        <v>0</v>
      </c>
      <c r="M8" s="39">
        <f t="shared" ca="1" si="6"/>
        <v>0</v>
      </c>
      <c r="N8" s="69">
        <f t="shared" ca="1" si="6"/>
        <v>0</v>
      </c>
    </row>
    <row r="9" spans="1:17" x14ac:dyDescent="0.25">
      <c r="A9" s="68" t="s">
        <v>114</v>
      </c>
      <c r="B9" s="44" t="s">
        <v>91</v>
      </c>
      <c r="C9" s="42">
        <f t="shared" ca="1" si="0"/>
        <v>2927</v>
      </c>
      <c r="D9" s="47">
        <f t="shared" ref="D9" ca="1" si="7">C9-SUMIFS(OFFSET(REL_D,,MATCH(D$2,IND,0)-1),REL_D,$B$3,OrgID,$B9)</f>
        <v>1009</v>
      </c>
      <c r="E9" s="40">
        <f t="shared" ref="E9" ca="1" si="8">IFERROR(D9/C9,"-")</f>
        <v>0.34472155790912196</v>
      </c>
      <c r="F9" s="43">
        <f t="shared" ca="1" si="6"/>
        <v>1918</v>
      </c>
      <c r="G9" s="42">
        <f t="shared" ca="1" si="6"/>
        <v>25</v>
      </c>
      <c r="H9" s="39">
        <f t="shared" ca="1" si="6"/>
        <v>3</v>
      </c>
      <c r="I9" s="39">
        <f t="shared" ca="1" si="6"/>
        <v>12</v>
      </c>
      <c r="J9" s="39">
        <f t="shared" ca="1" si="6"/>
        <v>0</v>
      </c>
      <c r="K9" s="39">
        <f t="shared" ca="1" si="6"/>
        <v>36</v>
      </c>
      <c r="L9" s="39">
        <f t="shared" ca="1" si="6"/>
        <v>1</v>
      </c>
      <c r="M9" s="39">
        <f t="shared" ca="1" si="6"/>
        <v>41</v>
      </c>
      <c r="N9" s="69">
        <f t="shared" ca="1" si="6"/>
        <v>9</v>
      </c>
    </row>
    <row r="10" spans="1:17" x14ac:dyDescent="0.25">
      <c r="A10" s="68" t="s">
        <v>115</v>
      </c>
      <c r="B10" s="44" t="s">
        <v>116</v>
      </c>
      <c r="C10" s="42">
        <f t="shared" ca="1" si="0"/>
        <v>0</v>
      </c>
      <c r="D10" s="47">
        <f t="shared" ca="1" si="1"/>
        <v>0</v>
      </c>
      <c r="E10" s="40" t="str">
        <f t="shared" ca="1" si="2"/>
        <v>-</v>
      </c>
      <c r="F10" s="43">
        <f t="shared" ca="1" si="6"/>
        <v>0</v>
      </c>
      <c r="G10" s="42">
        <f t="shared" ca="1" si="6"/>
        <v>0</v>
      </c>
      <c r="H10" s="39">
        <f t="shared" ca="1" si="6"/>
        <v>0</v>
      </c>
      <c r="I10" s="39">
        <f t="shared" ca="1" si="6"/>
        <v>0</v>
      </c>
      <c r="J10" s="39">
        <f t="shared" ca="1" si="6"/>
        <v>0</v>
      </c>
      <c r="K10" s="39">
        <f t="shared" ca="1" si="6"/>
        <v>0</v>
      </c>
      <c r="L10" s="39">
        <f t="shared" ca="1" si="6"/>
        <v>0</v>
      </c>
      <c r="M10" s="39">
        <f t="shared" ca="1" si="6"/>
        <v>0</v>
      </c>
      <c r="N10" s="69">
        <f t="shared" ca="1" si="6"/>
        <v>0</v>
      </c>
    </row>
    <row r="11" spans="1:17" x14ac:dyDescent="0.25">
      <c r="A11" s="68" t="s">
        <v>86</v>
      </c>
      <c r="B11" s="44" t="s">
        <v>87</v>
      </c>
      <c r="C11" s="42"/>
      <c r="D11" s="47"/>
      <c r="E11" s="40"/>
      <c r="F11" s="43"/>
      <c r="G11" s="42">
        <f t="shared" ca="1" si="6"/>
        <v>5</v>
      </c>
      <c r="H11" s="39">
        <f t="shared" ca="1" si="6"/>
        <v>1</v>
      </c>
      <c r="I11" s="39">
        <f t="shared" ca="1" si="6"/>
        <v>9</v>
      </c>
      <c r="J11" s="39">
        <f t="shared" ca="1" si="6"/>
        <v>7</v>
      </c>
      <c r="K11" s="39">
        <f t="shared" ca="1" si="6"/>
        <v>33</v>
      </c>
      <c r="L11" s="39">
        <f t="shared" ca="1" si="6"/>
        <v>18</v>
      </c>
      <c r="M11" s="39">
        <f t="shared" ca="1" si="6"/>
        <v>39</v>
      </c>
      <c r="N11" s="69">
        <f t="shared" ca="1" si="6"/>
        <v>23</v>
      </c>
    </row>
    <row r="12" spans="1:17" x14ac:dyDescent="0.25">
      <c r="A12" s="68" t="s">
        <v>117</v>
      </c>
      <c r="B12" s="44" t="s">
        <v>118</v>
      </c>
      <c r="C12" s="42"/>
      <c r="D12" s="47"/>
      <c r="E12" s="40"/>
      <c r="F12" s="43"/>
      <c r="G12" s="42">
        <f ca="1">SUMIFS(OFFSET(REL_D,,MATCH(G$2,IND,0)-1),REL_D,$B$3,OrgID,$B12)</f>
        <v>0</v>
      </c>
      <c r="H12" s="39">
        <f t="shared" ca="1" si="6"/>
        <v>0</v>
      </c>
      <c r="I12" s="39">
        <f t="shared" ca="1" si="6"/>
        <v>0</v>
      </c>
      <c r="J12" s="39">
        <f t="shared" ca="1" si="6"/>
        <v>0</v>
      </c>
      <c r="K12" s="39">
        <f t="shared" ca="1" si="6"/>
        <v>0</v>
      </c>
      <c r="L12" s="39">
        <f t="shared" ca="1" si="6"/>
        <v>0</v>
      </c>
      <c r="M12" s="39">
        <f t="shared" ca="1" si="6"/>
        <v>0</v>
      </c>
      <c r="N12" s="69">
        <f t="shared" ca="1" si="6"/>
        <v>0</v>
      </c>
    </row>
    <row r="13" spans="1:17" x14ac:dyDescent="0.25">
      <c r="A13" s="68" t="s">
        <v>92</v>
      </c>
      <c r="B13" s="44" t="s">
        <v>93</v>
      </c>
      <c r="C13" s="42">
        <f t="shared" ca="1" si="0"/>
        <v>2913</v>
      </c>
      <c r="D13" s="47">
        <f t="shared" ca="1" si="1"/>
        <v>932</v>
      </c>
      <c r="E13" s="40">
        <f t="shared" ca="1" si="2"/>
        <v>0.31994507380707177</v>
      </c>
      <c r="F13" s="43">
        <f t="shared" ref="F13:N14" ca="1" si="9">SUMIFS(OFFSET(REL_D,,MATCH(F$2,IND,0)-1),REL_D,$B$3,OrgID,$B13)</f>
        <v>1981</v>
      </c>
      <c r="G13" s="42">
        <f t="shared" ca="1" si="9"/>
        <v>24</v>
      </c>
      <c r="H13" s="39">
        <f t="shared" ca="1" si="9"/>
        <v>23</v>
      </c>
      <c r="I13" s="39">
        <f t="shared" ca="1" si="9"/>
        <v>50</v>
      </c>
      <c r="J13" s="39">
        <f t="shared" ca="1" si="9"/>
        <v>23</v>
      </c>
      <c r="K13" s="39">
        <f t="shared" ca="1" si="9"/>
        <v>33</v>
      </c>
      <c r="L13" s="39">
        <f t="shared" ca="1" si="9"/>
        <v>16</v>
      </c>
      <c r="M13" s="39">
        <f t="shared" ca="1" si="9"/>
        <v>63</v>
      </c>
      <c r="N13" s="69">
        <f t="shared" ca="1" si="9"/>
        <v>53</v>
      </c>
    </row>
    <row r="14" spans="1:17" x14ac:dyDescent="0.25">
      <c r="A14" s="68" t="s">
        <v>119</v>
      </c>
      <c r="B14" s="44" t="s">
        <v>120</v>
      </c>
      <c r="C14" s="42">
        <f t="shared" ca="1" si="0"/>
        <v>0</v>
      </c>
      <c r="D14" s="47">
        <f t="shared" ref="D14" ca="1" si="10">C14-SUMIFS(OFFSET(REL_D,,MATCH(D$2,IND,0)-1),REL_D,$B$3,OrgID,$B14)</f>
        <v>0</v>
      </c>
      <c r="E14" s="40" t="str">
        <f t="shared" ref="E14" ca="1" si="11">IFERROR(D14/C14,"-")</f>
        <v>-</v>
      </c>
      <c r="F14" s="43">
        <f t="shared" ca="1" si="9"/>
        <v>0</v>
      </c>
      <c r="G14" s="42">
        <f t="shared" ca="1" si="9"/>
        <v>0</v>
      </c>
      <c r="H14" s="39">
        <f t="shared" ca="1" si="9"/>
        <v>0</v>
      </c>
      <c r="I14" s="39">
        <f t="shared" ca="1" si="9"/>
        <v>0</v>
      </c>
      <c r="J14" s="39">
        <f t="shared" ca="1" si="9"/>
        <v>0</v>
      </c>
      <c r="K14" s="39">
        <f t="shared" ca="1" si="9"/>
        <v>0</v>
      </c>
      <c r="L14" s="39">
        <f t="shared" ca="1" si="9"/>
        <v>0</v>
      </c>
      <c r="M14" s="39">
        <f t="shared" ca="1" si="9"/>
        <v>0</v>
      </c>
      <c r="N14" s="69">
        <f t="shared" ca="1" si="9"/>
        <v>0</v>
      </c>
    </row>
    <row r="15" spans="1:17" x14ac:dyDescent="0.25">
      <c r="A15" s="75" t="s">
        <v>107</v>
      </c>
      <c r="B15" s="76"/>
      <c r="C15" s="77">
        <f ca="1">SUM(C5:C14)</f>
        <v>9479</v>
      </c>
      <c r="D15" s="78">
        <f ca="1">SUM(D5:D14)</f>
        <v>3294</v>
      </c>
      <c r="E15" s="79">
        <f t="shared" ref="E15" ca="1" si="12">D15/C15</f>
        <v>0.34750501107711784</v>
      </c>
      <c r="F15" s="80">
        <f t="shared" ref="F15:N15" ca="1" si="13">SUM(F5:F14)</f>
        <v>6185</v>
      </c>
      <c r="G15" s="1">
        <f t="shared" ca="1" si="13"/>
        <v>81</v>
      </c>
      <c r="H15" s="1">
        <f t="shared" ca="1" si="13"/>
        <v>56</v>
      </c>
      <c r="I15" s="1">
        <f t="shared" ca="1" si="13"/>
        <v>124</v>
      </c>
      <c r="J15" s="1">
        <f t="shared" ca="1" si="13"/>
        <v>75</v>
      </c>
      <c r="K15" s="1">
        <f t="shared" ca="1" si="13"/>
        <v>136</v>
      </c>
      <c r="L15" s="1">
        <f t="shared" ca="1" si="13"/>
        <v>48</v>
      </c>
      <c r="M15" s="1">
        <f t="shared" ca="1" si="13"/>
        <v>185</v>
      </c>
      <c r="N15" s="70">
        <f t="shared" ca="1" si="13"/>
        <v>119</v>
      </c>
    </row>
    <row r="16" spans="1:17" x14ac:dyDescent="0.25">
      <c r="A16" s="110" t="s">
        <v>108</v>
      </c>
      <c r="B16" s="111">
        <f>B3</f>
        <v>45017</v>
      </c>
      <c r="C16" s="71"/>
      <c r="D16" s="112"/>
      <c r="E16" s="71"/>
      <c r="F16" s="71"/>
      <c r="G16" s="71"/>
      <c r="H16" s="71"/>
      <c r="I16" s="71"/>
      <c r="J16" s="71"/>
      <c r="K16" s="71"/>
      <c r="L16" s="71"/>
      <c r="M16" s="71"/>
      <c r="N16" s="72"/>
    </row>
    <row r="17" spans="1:14" ht="26.25" x14ac:dyDescent="0.4">
      <c r="A17" s="94"/>
      <c r="B17" s="92"/>
      <c r="C17" s="92"/>
      <c r="D17" s="92"/>
      <c r="E17" s="93"/>
      <c r="F17" s="93"/>
      <c r="G17" s="71"/>
      <c r="H17" s="71"/>
      <c r="I17" s="71"/>
      <c r="J17" s="71"/>
      <c r="K17" s="71"/>
      <c r="L17" s="71"/>
      <c r="M17" s="71"/>
      <c r="N17" s="72"/>
    </row>
    <row r="18" spans="1:14" ht="16.5" thickBot="1" x14ac:dyDescent="0.3">
      <c r="A18" s="114" t="s">
        <v>121</v>
      </c>
      <c r="B18" s="115"/>
      <c r="C18" s="115"/>
      <c r="D18" s="115"/>
      <c r="E18" s="115"/>
      <c r="F18" s="115"/>
      <c r="G18" s="115"/>
      <c r="H18" s="115"/>
      <c r="I18" s="115"/>
      <c r="J18" s="115"/>
      <c r="K18" s="73"/>
      <c r="L18" s="73"/>
      <c r="M18" s="73"/>
      <c r="N18" s="74"/>
    </row>
    <row r="19" spans="1:14" ht="15.75" thickTop="1" x14ac:dyDescent="0.25"/>
  </sheetData>
  <conditionalFormatting sqref="B3:N15">
    <cfRule type="expression" dxfId="5" priority="1">
      <formula>ISERROR(B3)</formula>
    </cfRule>
  </conditionalFormatting>
  <conditionalFormatting sqref="E15">
    <cfRule type="expression" dxfId="4" priority="12">
      <formula>ISERROR(E15)</formula>
    </cfRule>
  </conditionalFormatting>
  <dataValidations count="1">
    <dataValidation type="list" allowBlank="1" showInputMessage="1" showErrorMessage="1" sqref="A3" xr:uid="{00000000-0002-0000-0200-000000000000}">
      <formula1>QSelection</formula1>
    </dataValidation>
  </dataValidation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4" tint="0.39997558519241921"/>
  </sheetPr>
  <dimension ref="A1:C22"/>
  <sheetViews>
    <sheetView workbookViewId="0">
      <selection activeCell="F12" sqref="F12"/>
    </sheetView>
  </sheetViews>
  <sheetFormatPr defaultRowHeight="15" x14ac:dyDescent="0.25"/>
  <cols>
    <col min="1" max="1" width="39.140625" customWidth="1"/>
    <col min="2" max="2" width="62.85546875" customWidth="1"/>
    <col min="3" max="3" width="10.7109375" style="52" customWidth="1"/>
  </cols>
  <sheetData>
    <row r="1" spans="1:3" x14ac:dyDescent="0.25">
      <c r="A1" s="2" t="s">
        <v>122</v>
      </c>
      <c r="B1" s="6" t="s">
        <v>123</v>
      </c>
    </row>
    <row r="2" spans="1:3" x14ac:dyDescent="0.25">
      <c r="A2" s="1" t="s">
        <v>124</v>
      </c>
      <c r="B2" t="s">
        <v>125</v>
      </c>
    </row>
    <row r="3" spans="1:3" x14ac:dyDescent="0.25">
      <c r="A3" s="48" t="s">
        <v>126</v>
      </c>
      <c r="B3" s="49" t="s">
        <v>127</v>
      </c>
    </row>
    <row r="4" spans="1:3" x14ac:dyDescent="0.25">
      <c r="A4" s="1" t="s">
        <v>128</v>
      </c>
      <c r="B4" t="s">
        <v>129</v>
      </c>
    </row>
    <row r="5" spans="1:3" x14ac:dyDescent="0.25">
      <c r="A5" s="1"/>
      <c r="B5" t="s">
        <v>130</v>
      </c>
      <c r="C5" s="53" t="s">
        <v>1</v>
      </c>
    </row>
    <row r="6" spans="1:3" ht="30" x14ac:dyDescent="0.25">
      <c r="A6" s="1"/>
      <c r="B6" s="3" t="s">
        <v>131</v>
      </c>
    </row>
    <row r="7" spans="1:3" x14ac:dyDescent="0.25">
      <c r="A7" s="1"/>
      <c r="B7" t="s">
        <v>132</v>
      </c>
    </row>
    <row r="8" spans="1:3" x14ac:dyDescent="0.25">
      <c r="A8" s="48"/>
      <c r="B8" s="49" t="s">
        <v>133</v>
      </c>
      <c r="C8" s="53" t="s">
        <v>2</v>
      </c>
    </row>
    <row r="9" spans="1:3" ht="30" x14ac:dyDescent="0.25">
      <c r="A9" s="50" t="s">
        <v>134</v>
      </c>
      <c r="B9" s="51" t="s">
        <v>135</v>
      </c>
    </row>
    <row r="10" spans="1:3" x14ac:dyDescent="0.25">
      <c r="A10" s="1" t="s">
        <v>136</v>
      </c>
      <c r="B10" t="s">
        <v>137</v>
      </c>
    </row>
    <row r="11" spans="1:3" x14ac:dyDescent="0.25">
      <c r="A11" s="1"/>
      <c r="B11" s="5" t="s">
        <v>138</v>
      </c>
    </row>
    <row r="12" spans="1:3" x14ac:dyDescent="0.25">
      <c r="A12" s="1"/>
      <c r="B12" t="s">
        <v>139</v>
      </c>
    </row>
    <row r="13" spans="1:3" ht="45" x14ac:dyDescent="0.25">
      <c r="A13" s="1"/>
      <c r="B13" s="3" t="s">
        <v>140</v>
      </c>
    </row>
    <row r="14" spans="1:3" x14ac:dyDescent="0.25">
      <c r="A14" s="1"/>
      <c r="B14" t="s">
        <v>141</v>
      </c>
    </row>
    <row r="15" spans="1:3" x14ac:dyDescent="0.25">
      <c r="A15" s="48"/>
      <c r="B15" s="49" t="s">
        <v>142</v>
      </c>
      <c r="C15" s="54" t="s">
        <v>143</v>
      </c>
    </row>
    <row r="16" spans="1:3" x14ac:dyDescent="0.25">
      <c r="A16" s="48" t="s">
        <v>144</v>
      </c>
      <c r="B16" s="51" t="s">
        <v>145</v>
      </c>
    </row>
    <row r="17" spans="1:3" x14ac:dyDescent="0.25">
      <c r="A17" s="1" t="s">
        <v>146</v>
      </c>
      <c r="B17" t="s">
        <v>137</v>
      </c>
    </row>
    <row r="18" spans="1:3" x14ac:dyDescent="0.25">
      <c r="A18" s="1"/>
      <c r="B18" s="5" t="s">
        <v>147</v>
      </c>
    </row>
    <row r="19" spans="1:3" x14ac:dyDescent="0.25">
      <c r="A19" s="1"/>
      <c r="B19" t="s">
        <v>148</v>
      </c>
    </row>
    <row r="20" spans="1:3" ht="45" x14ac:dyDescent="0.25">
      <c r="A20" s="1"/>
      <c r="B20" s="3" t="s">
        <v>149</v>
      </c>
    </row>
    <row r="21" spans="1:3" x14ac:dyDescent="0.25">
      <c r="A21" s="1"/>
      <c r="B21" t="s">
        <v>150</v>
      </c>
    </row>
    <row r="22" spans="1:3" x14ac:dyDescent="0.25">
      <c r="A22" s="48"/>
      <c r="B22" s="49" t="s">
        <v>142</v>
      </c>
      <c r="C22" s="54" t="s">
        <v>151</v>
      </c>
    </row>
  </sheetData>
  <conditionalFormatting sqref="A1:B1">
    <cfRule type="expression" dxfId="3" priority="1">
      <formula>ISERROR(A1)</formula>
    </cfRule>
  </conditionalFormatting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rgb="FFC00000"/>
  </sheetPr>
  <dimension ref="A1:F11"/>
  <sheetViews>
    <sheetView workbookViewId="0">
      <selection activeCell="E36" sqref="E36"/>
    </sheetView>
  </sheetViews>
  <sheetFormatPr defaultRowHeight="15" x14ac:dyDescent="0.25"/>
  <cols>
    <col min="1" max="1" width="13.7109375" customWidth="1"/>
    <col min="2" max="2" width="11.5703125" customWidth="1"/>
    <col min="3" max="3" width="24.85546875" customWidth="1"/>
    <col min="5" max="5" width="26" customWidth="1"/>
    <col min="6" max="6" width="12.28515625" customWidth="1"/>
    <col min="7" max="7" width="13.7109375" customWidth="1"/>
    <col min="8" max="8" width="16.140625" customWidth="1"/>
  </cols>
  <sheetData>
    <row r="1" spans="1:6" ht="15.75" thickBot="1" x14ac:dyDescent="0.3">
      <c r="A1" s="25"/>
      <c r="B1" s="25" t="s">
        <v>152</v>
      </c>
      <c r="C1" s="26" t="s">
        <v>153</v>
      </c>
      <c r="E1" t="s">
        <v>154</v>
      </c>
      <c r="F1" t="s">
        <v>155</v>
      </c>
    </row>
    <row r="2" spans="1:6" ht="15.75" thickBot="1" x14ac:dyDescent="0.3">
      <c r="A2" s="25" t="s">
        <v>156</v>
      </c>
      <c r="B2" s="12"/>
      <c r="C2" s="28"/>
      <c r="E2" t="s">
        <v>157</v>
      </c>
      <c r="F2" s="24">
        <v>44743</v>
      </c>
    </row>
    <row r="3" spans="1:6" ht="15.75" thickBot="1" x14ac:dyDescent="0.3">
      <c r="A3" s="27" t="s">
        <v>158</v>
      </c>
      <c r="B3" s="12" t="s">
        <v>159</v>
      </c>
      <c r="C3" s="28"/>
      <c r="E3" t="s">
        <v>27</v>
      </c>
      <c r="F3" s="24">
        <v>44835</v>
      </c>
    </row>
    <row r="4" spans="1:6" ht="15.75" thickBot="1" x14ac:dyDescent="0.3">
      <c r="A4" s="27" t="s">
        <v>160</v>
      </c>
      <c r="B4" s="29">
        <v>1</v>
      </c>
      <c r="C4" s="28"/>
      <c r="D4" s="30"/>
      <c r="E4" t="s">
        <v>161</v>
      </c>
      <c r="F4" s="24">
        <v>44927</v>
      </c>
    </row>
    <row r="5" spans="1:6" x14ac:dyDescent="0.25">
      <c r="A5" s="31" t="s">
        <v>152</v>
      </c>
      <c r="B5" s="32" t="str">
        <f>IF(B2="N","BLANK!","'"&amp;B3&amp;"'!")</f>
        <v>'DATA'!</v>
      </c>
      <c r="C5" s="33" t="str">
        <f ca="1">$B$5&amp;ADDRESS(1,1)&amp;":"&amp;ADDRESS(B6,B7)</f>
        <v>'DATA'!$A$1:$AA$225</v>
      </c>
      <c r="E5" t="s">
        <v>162</v>
      </c>
      <c r="F5" s="24">
        <v>45017</v>
      </c>
    </row>
    <row r="6" spans="1:6" x14ac:dyDescent="0.25">
      <c r="A6" s="31" t="s">
        <v>163</v>
      </c>
      <c r="B6" s="30">
        <f t="array" aca="1" ref="B6" ca="1">MAX(IF(NOT(ISBLANK(INDIRECT(B5&amp;"A1:A500"))),ROW($A$1:$A$500),0))</f>
        <v>225</v>
      </c>
      <c r="C6" s="28"/>
      <c r="D6" s="30"/>
    </row>
    <row r="7" spans="1:6" ht="15.75" thickBot="1" x14ac:dyDescent="0.3">
      <c r="A7" s="31" t="s">
        <v>164</v>
      </c>
      <c r="B7" s="30">
        <f ca="1">COUNTA(INDIRECT(B5&amp;B4&amp;":"&amp;B4))</f>
        <v>27</v>
      </c>
      <c r="C7" s="28"/>
      <c r="D7" s="30"/>
    </row>
    <row r="8" spans="1:6" ht="15.75" thickBot="1" x14ac:dyDescent="0.3">
      <c r="A8" s="34" t="s">
        <v>165</v>
      </c>
      <c r="B8" s="29">
        <v>10</v>
      </c>
      <c r="C8" s="33" t="str">
        <f ca="1">$B$5&amp;ADDRESS(1,B8)&amp;":"&amp;ADDRESS($B$6,B8)</f>
        <v>'DATA'!$J$1:$J$225</v>
      </c>
    </row>
    <row r="9" spans="1:6" ht="15.75" thickBot="1" x14ac:dyDescent="0.3">
      <c r="A9" s="35" t="s">
        <v>155</v>
      </c>
      <c r="B9" s="29">
        <v>1</v>
      </c>
      <c r="C9" s="33" t="str">
        <f ca="1">$B$5&amp;ADDRESS(1,B9)&amp;":"&amp;ADDRESS($B$6,B9)</f>
        <v>'DATA'!$A$1:$A$225</v>
      </c>
    </row>
    <row r="10" spans="1:6" x14ac:dyDescent="0.25">
      <c r="A10" s="34" t="s">
        <v>166</v>
      </c>
      <c r="B10" s="32" t="s">
        <v>167</v>
      </c>
      <c r="C10" s="33" t="str">
        <f ca="1">$B$5&amp;ADDRESS(B4,1)&amp;":"&amp;ADDRESS(B4,B7)</f>
        <v>'DATA'!$A$1:$AA$1</v>
      </c>
    </row>
    <row r="11" spans="1:6" x14ac:dyDescent="0.25">
      <c r="A11" s="123" t="s">
        <v>168</v>
      </c>
      <c r="B11" s="32">
        <v>2</v>
      </c>
      <c r="C11" s="33" t="str">
        <f ca="1">$B$5&amp;ADDRESS(1,B11)&amp;":"&amp;ADDRESS($B$6,B11)</f>
        <v>'DATA'!$B$1:$B$225</v>
      </c>
    </row>
  </sheetData>
  <pageMargins left="0.7" right="0.7" top="0.75" bottom="0.75" header="0.3" footer="0.3"/>
  <tableParts count="1">
    <tablePart r:id="rId1"/>
  </tablePart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rgb="FFC00000"/>
  </sheetPr>
  <dimension ref="A1:AA233"/>
  <sheetViews>
    <sheetView topLeftCell="A173" zoomScale="80" zoomScaleNormal="80" workbookViewId="0">
      <selection activeCell="Y192" sqref="Y192"/>
    </sheetView>
  </sheetViews>
  <sheetFormatPr defaultRowHeight="15" x14ac:dyDescent="0.25"/>
  <cols>
    <col min="1" max="2" width="11.85546875" style="24" customWidth="1"/>
    <col min="3" max="3" width="17.7109375" customWidth="1"/>
    <col min="4" max="4" width="2.7109375" customWidth="1"/>
    <col min="5" max="5" width="18.140625" customWidth="1"/>
    <col min="6" max="6" width="3" customWidth="1"/>
    <col min="7" max="8" width="13.7109375" customWidth="1"/>
    <col min="9" max="9" width="6.5703125" customWidth="1"/>
    <col min="12" max="17" width="12.7109375" customWidth="1"/>
    <col min="18" max="19" width="12.7109375" style="178" customWidth="1"/>
    <col min="20" max="22" width="12.7109375" customWidth="1"/>
    <col min="23" max="24" width="12.7109375" style="178" customWidth="1"/>
    <col min="25" max="26" width="12.7109375" customWidth="1"/>
  </cols>
  <sheetData>
    <row r="1" spans="1:27" ht="15.75" thickBot="1" x14ac:dyDescent="0.3">
      <c r="A1" s="9" t="s">
        <v>155</v>
      </c>
      <c r="B1" s="9" t="s">
        <v>168</v>
      </c>
      <c r="C1" s="10" t="s">
        <v>169</v>
      </c>
      <c r="D1" s="10" t="s">
        <v>170</v>
      </c>
      <c r="E1" s="11" t="s">
        <v>171</v>
      </c>
      <c r="F1" s="10" t="s">
        <v>170</v>
      </c>
      <c r="G1" s="10" t="s">
        <v>170</v>
      </c>
      <c r="H1" s="10" t="s">
        <v>172</v>
      </c>
      <c r="I1" s="10" t="s">
        <v>170</v>
      </c>
      <c r="J1" s="4" t="s">
        <v>165</v>
      </c>
      <c r="K1" s="4" t="s">
        <v>166</v>
      </c>
      <c r="L1" s="56" t="s">
        <v>173</v>
      </c>
      <c r="M1" s="56" t="s">
        <v>174</v>
      </c>
      <c r="N1" s="56" t="s">
        <v>175</v>
      </c>
      <c r="O1" s="56" t="s">
        <v>1</v>
      </c>
      <c r="P1" s="56" t="s">
        <v>3</v>
      </c>
      <c r="Q1" s="56" t="s">
        <v>5</v>
      </c>
      <c r="R1" s="187" t="s">
        <v>7</v>
      </c>
      <c r="S1" s="187" t="s">
        <v>9</v>
      </c>
      <c r="T1" s="56" t="s">
        <v>176</v>
      </c>
      <c r="U1" s="56" t="s">
        <v>4</v>
      </c>
      <c r="V1" s="56" t="s">
        <v>6</v>
      </c>
      <c r="W1" s="187" t="s">
        <v>8</v>
      </c>
      <c r="X1" s="187" t="s">
        <v>10</v>
      </c>
      <c r="Y1" s="56" t="s">
        <v>177</v>
      </c>
      <c r="Z1" s="56" t="s">
        <v>2</v>
      </c>
      <c r="AA1" t="s">
        <v>178</v>
      </c>
    </row>
    <row r="2" spans="1:27" ht="15.75" thickBot="1" x14ac:dyDescent="0.3">
      <c r="A2" s="13"/>
      <c r="B2" s="13"/>
      <c r="C2" s="14"/>
      <c r="D2" s="14"/>
      <c r="E2" s="15" t="s">
        <v>179</v>
      </c>
      <c r="F2" s="14"/>
      <c r="G2" s="12" t="s">
        <v>180</v>
      </c>
      <c r="H2" s="12" t="s">
        <v>181</v>
      </c>
      <c r="I2" s="14"/>
      <c r="J2" s="14"/>
      <c r="K2" s="14" t="s">
        <v>182</v>
      </c>
      <c r="L2" s="16" t="str">
        <f>TRIM(MID(L4,2,FIND($H$2,L4)-2))</f>
        <v>SDLR01a</v>
      </c>
      <c r="M2" s="16" t="str">
        <f t="shared" ref="M2:AA2" si="0">TRIM(MID(M4,2,FIND($H$2,M4)-2))</f>
        <v>SDLR01</v>
      </c>
      <c r="N2" s="16" t="str">
        <f t="shared" si="0"/>
        <v>SDLR02</v>
      </c>
      <c r="O2" s="16" t="str">
        <f t="shared" si="0"/>
        <v>SDLR03</v>
      </c>
      <c r="P2" s="16" t="str">
        <f t="shared" si="0"/>
        <v>SDLR01-Q1</v>
      </c>
      <c r="Q2" s="16" t="str">
        <f t="shared" si="0"/>
        <v>SDLR01-Q2</v>
      </c>
      <c r="R2" s="188" t="str">
        <f t="shared" si="0"/>
        <v>SDLR01-Q3</v>
      </c>
      <c r="S2" s="188" t="str">
        <f t="shared" si="0"/>
        <v>SDLR01-Q4</v>
      </c>
      <c r="T2" s="16" t="str">
        <f t="shared" si="0"/>
        <v>SDLR02a</v>
      </c>
      <c r="U2" s="16" t="str">
        <f t="shared" si="0"/>
        <v>SDLR02-Q1</v>
      </c>
      <c r="V2" s="16" t="str">
        <f t="shared" si="0"/>
        <v>SDLR02-Q2</v>
      </c>
      <c r="W2" s="188" t="str">
        <f t="shared" si="0"/>
        <v>SDLR02-Q3</v>
      </c>
      <c r="X2" s="188" t="str">
        <f t="shared" si="0"/>
        <v>SDLR02-Q4</v>
      </c>
      <c r="Y2" s="16" t="str">
        <f t="shared" si="0"/>
        <v>SDLR03a</v>
      </c>
      <c r="Z2" s="16" t="str">
        <f t="shared" si="0"/>
        <v>SDLR03TEP</v>
      </c>
      <c r="AA2" s="16" t="str">
        <f t="shared" si="0"/>
        <v>00-00</v>
      </c>
    </row>
    <row r="3" spans="1:27" s="22" customFormat="1" ht="76.5" customHeight="1" thickBot="1" x14ac:dyDescent="0.3">
      <c r="A3" s="17"/>
      <c r="B3" s="122"/>
      <c r="C3" s="18"/>
      <c r="D3" s="19"/>
      <c r="E3" s="19"/>
      <c r="F3" s="18"/>
      <c r="G3" s="20" t="s">
        <v>183</v>
      </c>
      <c r="H3" s="18"/>
      <c r="I3" s="18"/>
      <c r="J3" s="18">
        <f>COUNTIF(L4,"*"&amp;{":","]"}&amp;"*")</f>
        <v>0</v>
      </c>
      <c r="K3" s="18" t="s">
        <v>184</v>
      </c>
      <c r="L3" s="21" t="str">
        <f t="shared" ref="L3:AA3" si="1">TRIM(MID(L4,FIND($H$2,L4)+2,LEN(L4)))</f>
        <v>Excluding ineligible for NHS Health Check (SDLR)</v>
      </c>
      <c r="M3" s="21" t="str">
        <f t="shared" si="1"/>
        <v>NHS Health Checks offered 2022-2023</v>
      </c>
      <c r="N3" s="21" t="str">
        <f t="shared" si="1"/>
        <v>NHS Health Checks done 2022-2023</v>
      </c>
      <c r="O3" s="21" t="str">
        <f t="shared" si="1"/>
        <v>Current Aged 40-74yrs</v>
      </c>
      <c r="P3" s="21" t="str">
        <f t="shared" si="1"/>
        <v>NHS Health Checks offered</v>
      </c>
      <c r="Q3" s="21" t="str">
        <f t="shared" si="1"/>
        <v>NHS Health Checks offered</v>
      </c>
      <c r="R3" s="189" t="str">
        <f t="shared" si="1"/>
        <v>NHS Health Checks offered</v>
      </c>
      <c r="S3" s="189" t="str">
        <f t="shared" si="1"/>
        <v>NHS Health Checks offered</v>
      </c>
      <c r="T3" s="21" t="str">
        <f t="shared" si="1"/>
        <v>Excluding ineligible for NHS Health Check (SDLR)</v>
      </c>
      <c r="U3" s="21" t="str">
        <f t="shared" si="1"/>
        <v>NHS Health Checks done</v>
      </c>
      <c r="V3" s="21" t="str">
        <f t="shared" si="1"/>
        <v>NHS Health Checks done</v>
      </c>
      <c r="W3" s="189" t="str">
        <f t="shared" si="1"/>
        <v>NHS Health Checks done</v>
      </c>
      <c r="X3" s="189" t="str">
        <f t="shared" si="1"/>
        <v>NHS Health Checks done</v>
      </c>
      <c r="Y3" s="21" t="str">
        <f t="shared" si="1"/>
        <v>Excl DM, IHD, Stroke/TIA, HyperT, PAD, FH, CKD, AF, HF,Statins</v>
      </c>
      <c r="Z3" s="21" t="str">
        <f t="shared" si="1"/>
        <v>current eligible TEP</v>
      </c>
      <c r="AA3" s="21" t="str">
        <f t="shared" si="1"/>
        <v>Listsize</v>
      </c>
    </row>
    <row r="4" spans="1:27" x14ac:dyDescent="0.25">
      <c r="A4" s="23">
        <v>44743</v>
      </c>
      <c r="C4" t="s">
        <v>185</v>
      </c>
      <c r="E4" t="s">
        <v>186</v>
      </c>
      <c r="G4" t="s">
        <v>187</v>
      </c>
      <c r="H4">
        <v>540337</v>
      </c>
      <c r="K4" t="s">
        <v>188</v>
      </c>
      <c r="L4" t="s">
        <v>189</v>
      </c>
      <c r="M4" t="s">
        <v>271</v>
      </c>
      <c r="N4" t="s">
        <v>272</v>
      </c>
      <c r="O4" t="s">
        <v>192</v>
      </c>
      <c r="P4" t="s">
        <v>193</v>
      </c>
      <c r="Q4" t="s">
        <v>194</v>
      </c>
      <c r="R4" t="s">
        <v>195</v>
      </c>
      <c r="S4" t="s">
        <v>196</v>
      </c>
      <c r="T4" t="s">
        <v>197</v>
      </c>
      <c r="U4" t="s">
        <v>198</v>
      </c>
      <c r="V4" t="s">
        <v>199</v>
      </c>
      <c r="W4" t="s">
        <v>200</v>
      </c>
      <c r="X4" t="s">
        <v>201</v>
      </c>
      <c r="Y4" t="s">
        <v>202</v>
      </c>
      <c r="Z4" t="s">
        <v>203</v>
      </c>
      <c r="AA4" t="s">
        <v>204</v>
      </c>
    </row>
    <row r="5" spans="1:27" x14ac:dyDescent="0.25">
      <c r="A5" s="23">
        <v>44743</v>
      </c>
      <c r="E5" s="8">
        <v>44746.425694444442</v>
      </c>
      <c r="G5" t="s">
        <v>205</v>
      </c>
      <c r="H5">
        <v>280983</v>
      </c>
      <c r="J5" t="s">
        <v>29</v>
      </c>
      <c r="R5"/>
      <c r="S5"/>
      <c r="W5"/>
      <c r="X5"/>
    </row>
    <row r="6" spans="1:27" x14ac:dyDescent="0.25">
      <c r="A6" s="23">
        <v>44743</v>
      </c>
      <c r="B6" s="24" t="str">
        <f>VLOOKUP($J6,Sheet2!$A$2:$E$46,5,0)</f>
        <v>WF-6</v>
      </c>
      <c r="E6" t="s">
        <v>206</v>
      </c>
      <c r="G6" t="s">
        <v>207</v>
      </c>
      <c r="H6">
        <v>259354</v>
      </c>
      <c r="J6" t="s">
        <v>81</v>
      </c>
      <c r="L6">
        <v>108</v>
      </c>
      <c r="M6">
        <v>155</v>
      </c>
      <c r="N6">
        <v>91</v>
      </c>
      <c r="O6">
        <v>3337</v>
      </c>
      <c r="P6">
        <v>108</v>
      </c>
      <c r="Q6">
        <v>0</v>
      </c>
      <c r="R6">
        <v>0</v>
      </c>
      <c r="S6">
        <v>0</v>
      </c>
      <c r="T6">
        <v>82</v>
      </c>
      <c r="U6">
        <v>82</v>
      </c>
      <c r="V6">
        <v>0</v>
      </c>
      <c r="W6">
        <v>0</v>
      </c>
      <c r="X6">
        <v>0</v>
      </c>
      <c r="Y6">
        <v>2209</v>
      </c>
      <c r="Z6">
        <v>2188</v>
      </c>
      <c r="AA6">
        <v>7700</v>
      </c>
    </row>
    <row r="7" spans="1:27" x14ac:dyDescent="0.25">
      <c r="A7" s="23">
        <v>44743</v>
      </c>
      <c r="B7" s="24" t="str">
        <f>VLOOKUP($J7,Sheet2!$A$2:$E$46,5,0)</f>
        <v>WF-1</v>
      </c>
      <c r="E7" s="7">
        <v>44743</v>
      </c>
      <c r="J7" t="s">
        <v>83</v>
      </c>
      <c r="L7">
        <v>317</v>
      </c>
      <c r="M7">
        <v>324</v>
      </c>
      <c r="N7">
        <v>53</v>
      </c>
      <c r="O7">
        <v>3423</v>
      </c>
      <c r="P7">
        <v>317</v>
      </c>
      <c r="Q7">
        <v>0</v>
      </c>
      <c r="R7">
        <v>0</v>
      </c>
      <c r="S7">
        <v>0</v>
      </c>
      <c r="T7">
        <v>49</v>
      </c>
      <c r="U7">
        <v>49</v>
      </c>
      <c r="V7">
        <v>0</v>
      </c>
      <c r="W7">
        <v>0</v>
      </c>
      <c r="X7">
        <v>0</v>
      </c>
      <c r="Y7">
        <v>2518</v>
      </c>
      <c r="Z7">
        <v>2503</v>
      </c>
      <c r="AA7">
        <v>9552</v>
      </c>
    </row>
    <row r="8" spans="1:27" x14ac:dyDescent="0.25">
      <c r="A8" s="23">
        <v>44743</v>
      </c>
      <c r="B8" s="24" t="str">
        <f>VLOOKUP($J8,Sheet2!$A$2:$E$46,5,0)</f>
        <v>WF-7</v>
      </c>
      <c r="J8" t="s">
        <v>87</v>
      </c>
      <c r="L8">
        <v>2</v>
      </c>
      <c r="M8">
        <v>3</v>
      </c>
      <c r="N8">
        <v>1</v>
      </c>
      <c r="O8">
        <v>2767</v>
      </c>
      <c r="P8">
        <v>2</v>
      </c>
      <c r="Q8">
        <v>0</v>
      </c>
      <c r="R8">
        <v>0</v>
      </c>
      <c r="S8">
        <v>0</v>
      </c>
      <c r="T8">
        <v>1</v>
      </c>
      <c r="U8">
        <v>1</v>
      </c>
      <c r="V8">
        <v>0</v>
      </c>
      <c r="W8">
        <v>0</v>
      </c>
      <c r="X8">
        <v>0</v>
      </c>
      <c r="Y8">
        <v>1850</v>
      </c>
      <c r="Z8">
        <v>1844</v>
      </c>
      <c r="AA8">
        <v>6896</v>
      </c>
    </row>
    <row r="9" spans="1:27" x14ac:dyDescent="0.25">
      <c r="A9" s="23">
        <v>44743</v>
      </c>
      <c r="B9" s="24" t="str">
        <f>VLOOKUP($J9,Sheet2!$A$2:$E$46,5,0)</f>
        <v>WF-3</v>
      </c>
      <c r="J9" t="s">
        <v>45</v>
      </c>
      <c r="L9">
        <v>13</v>
      </c>
      <c r="M9">
        <v>21</v>
      </c>
      <c r="N9">
        <v>15</v>
      </c>
      <c r="O9">
        <v>3918</v>
      </c>
      <c r="P9">
        <v>13</v>
      </c>
      <c r="Q9">
        <v>0</v>
      </c>
      <c r="R9">
        <v>0</v>
      </c>
      <c r="S9">
        <v>0</v>
      </c>
      <c r="T9">
        <v>9</v>
      </c>
      <c r="U9">
        <v>9</v>
      </c>
      <c r="V9">
        <v>0</v>
      </c>
      <c r="W9">
        <v>0</v>
      </c>
      <c r="X9">
        <v>0</v>
      </c>
      <c r="Y9">
        <v>2598</v>
      </c>
      <c r="Z9">
        <v>2572</v>
      </c>
      <c r="AA9">
        <v>9706</v>
      </c>
    </row>
    <row r="10" spans="1:27" x14ac:dyDescent="0.25">
      <c r="A10" s="23">
        <v>44743</v>
      </c>
      <c r="B10" s="24" t="str">
        <f>VLOOKUP($J10,Sheet2!$A$2:$E$46,5,0)</f>
        <v>WF-7</v>
      </c>
      <c r="J10" t="s">
        <v>91</v>
      </c>
      <c r="L10">
        <v>23</v>
      </c>
      <c r="M10">
        <v>26</v>
      </c>
      <c r="N10">
        <v>25</v>
      </c>
      <c r="O10">
        <v>2855</v>
      </c>
      <c r="P10">
        <v>23</v>
      </c>
      <c r="Q10">
        <v>0</v>
      </c>
      <c r="R10">
        <v>0</v>
      </c>
      <c r="S10">
        <v>0</v>
      </c>
      <c r="T10">
        <v>22</v>
      </c>
      <c r="U10">
        <v>2</v>
      </c>
      <c r="V10">
        <v>0</v>
      </c>
      <c r="W10">
        <v>0</v>
      </c>
      <c r="X10">
        <v>0</v>
      </c>
      <c r="Y10">
        <v>1901</v>
      </c>
      <c r="Z10">
        <v>1880</v>
      </c>
      <c r="AA10">
        <v>8208</v>
      </c>
    </row>
    <row r="11" spans="1:27" x14ac:dyDescent="0.25">
      <c r="A11" s="23">
        <v>44743</v>
      </c>
      <c r="B11" s="24" t="str">
        <f>VLOOKUP($J11,Sheet2!$A$2:$E$46,5,0)</f>
        <v>WF-4</v>
      </c>
      <c r="J11" t="s">
        <v>47</v>
      </c>
      <c r="L11">
        <v>385</v>
      </c>
      <c r="M11">
        <v>387</v>
      </c>
      <c r="N11">
        <v>170</v>
      </c>
      <c r="O11">
        <v>6149</v>
      </c>
      <c r="P11">
        <v>385</v>
      </c>
      <c r="Q11">
        <v>0</v>
      </c>
      <c r="R11">
        <v>0</v>
      </c>
      <c r="S11">
        <v>0</v>
      </c>
      <c r="T11">
        <v>169</v>
      </c>
      <c r="U11">
        <v>169</v>
      </c>
      <c r="V11">
        <v>0</v>
      </c>
      <c r="W11">
        <v>0</v>
      </c>
      <c r="X11">
        <v>0</v>
      </c>
      <c r="Y11">
        <v>4425</v>
      </c>
      <c r="Z11">
        <v>4368</v>
      </c>
      <c r="AA11">
        <v>14657</v>
      </c>
    </row>
    <row r="12" spans="1:27" x14ac:dyDescent="0.25">
      <c r="A12" s="23">
        <v>44743</v>
      </c>
      <c r="B12" s="24" t="str">
        <f>VLOOKUP($J12,Sheet2!$A$2:$E$46,5,0)</f>
        <v>WF-3</v>
      </c>
      <c r="J12" t="s">
        <v>49</v>
      </c>
      <c r="L12">
        <v>16</v>
      </c>
      <c r="M12">
        <v>22</v>
      </c>
      <c r="N12">
        <v>18</v>
      </c>
      <c r="O12">
        <v>3970</v>
      </c>
      <c r="P12">
        <v>15</v>
      </c>
      <c r="Q12">
        <v>0</v>
      </c>
      <c r="R12">
        <v>0</v>
      </c>
      <c r="S12">
        <v>0</v>
      </c>
      <c r="T12">
        <v>14</v>
      </c>
      <c r="U12">
        <v>14</v>
      </c>
      <c r="V12">
        <v>0</v>
      </c>
      <c r="W12">
        <v>0</v>
      </c>
      <c r="X12">
        <v>0</v>
      </c>
      <c r="Y12">
        <v>2597</v>
      </c>
      <c r="Z12">
        <v>2553</v>
      </c>
      <c r="AA12">
        <v>10972</v>
      </c>
    </row>
    <row r="13" spans="1:27" x14ac:dyDescent="0.25">
      <c r="A13" s="23">
        <v>44743</v>
      </c>
      <c r="B13" s="24" t="str">
        <f>VLOOKUP($J13,Sheet2!$A$2:$E$46,5,0)</f>
        <v>WF-4</v>
      </c>
      <c r="J13" t="s">
        <v>51</v>
      </c>
      <c r="L13">
        <v>45</v>
      </c>
      <c r="M13">
        <v>50</v>
      </c>
      <c r="N13">
        <v>40</v>
      </c>
      <c r="O13">
        <v>3520</v>
      </c>
      <c r="P13">
        <v>45</v>
      </c>
      <c r="Q13">
        <v>0</v>
      </c>
      <c r="R13">
        <v>0</v>
      </c>
      <c r="S13">
        <v>0</v>
      </c>
      <c r="T13">
        <v>40</v>
      </c>
      <c r="U13">
        <v>40</v>
      </c>
      <c r="V13">
        <v>0</v>
      </c>
      <c r="W13">
        <v>0</v>
      </c>
      <c r="X13">
        <v>0</v>
      </c>
      <c r="Y13">
        <v>2651</v>
      </c>
      <c r="Z13">
        <v>2637</v>
      </c>
      <c r="AA13">
        <v>11125</v>
      </c>
    </row>
    <row r="14" spans="1:27" x14ac:dyDescent="0.25">
      <c r="A14" s="23">
        <v>44743</v>
      </c>
      <c r="B14" s="24" t="str">
        <f>VLOOKUP($J14,Sheet2!$A$2:$E$46,5,0)</f>
        <v>WF-5</v>
      </c>
      <c r="J14" t="s">
        <v>59</v>
      </c>
      <c r="L14">
        <v>15</v>
      </c>
      <c r="M14">
        <v>16</v>
      </c>
      <c r="N14">
        <v>16</v>
      </c>
      <c r="O14">
        <v>876</v>
      </c>
      <c r="P14">
        <v>15</v>
      </c>
      <c r="Q14">
        <v>0</v>
      </c>
      <c r="R14">
        <v>0</v>
      </c>
      <c r="S14">
        <v>0</v>
      </c>
      <c r="T14">
        <v>15</v>
      </c>
      <c r="U14">
        <v>15</v>
      </c>
      <c r="V14">
        <v>0</v>
      </c>
      <c r="W14">
        <v>0</v>
      </c>
      <c r="X14">
        <v>0</v>
      </c>
      <c r="Y14">
        <v>596</v>
      </c>
      <c r="Z14">
        <v>588</v>
      </c>
      <c r="AA14">
        <v>2038</v>
      </c>
    </row>
    <row r="15" spans="1:27" x14ac:dyDescent="0.25">
      <c r="A15" s="23">
        <v>44743</v>
      </c>
      <c r="B15" s="24" t="str">
        <f>VLOOKUP($J15,Sheet2!$A$2:$E$46,5,0)</f>
        <v>WF-7</v>
      </c>
      <c r="J15" t="s">
        <v>99</v>
      </c>
      <c r="L15">
        <v>94</v>
      </c>
      <c r="M15">
        <v>104</v>
      </c>
      <c r="N15">
        <v>57</v>
      </c>
      <c r="O15">
        <v>5824</v>
      </c>
      <c r="P15">
        <v>94</v>
      </c>
      <c r="Q15">
        <v>0</v>
      </c>
      <c r="R15">
        <v>0</v>
      </c>
      <c r="S15">
        <v>0</v>
      </c>
      <c r="T15">
        <v>56</v>
      </c>
      <c r="U15">
        <v>56</v>
      </c>
      <c r="V15">
        <v>0</v>
      </c>
      <c r="W15">
        <v>0</v>
      </c>
      <c r="X15">
        <v>0</v>
      </c>
      <c r="Y15">
        <v>4090</v>
      </c>
      <c r="Z15">
        <v>4045</v>
      </c>
      <c r="AA15">
        <v>16669</v>
      </c>
    </row>
    <row r="16" spans="1:27" x14ac:dyDescent="0.25">
      <c r="A16" s="23">
        <v>44743</v>
      </c>
      <c r="B16" s="24" t="str">
        <f>VLOOKUP($J16,Sheet2!$A$2:$E$46,5,0)</f>
        <v>WF-7</v>
      </c>
      <c r="J16" t="s">
        <v>93</v>
      </c>
      <c r="L16">
        <v>23</v>
      </c>
      <c r="M16">
        <v>35</v>
      </c>
      <c r="N16">
        <v>35</v>
      </c>
      <c r="O16">
        <v>2864</v>
      </c>
      <c r="P16">
        <v>23</v>
      </c>
      <c r="Q16">
        <v>0</v>
      </c>
      <c r="R16">
        <v>0</v>
      </c>
      <c r="S16">
        <v>0</v>
      </c>
      <c r="T16">
        <v>23</v>
      </c>
      <c r="U16">
        <v>23</v>
      </c>
      <c r="V16">
        <v>0</v>
      </c>
      <c r="W16">
        <v>0</v>
      </c>
      <c r="X16">
        <v>0</v>
      </c>
      <c r="Y16">
        <v>1973</v>
      </c>
      <c r="Z16">
        <v>1956</v>
      </c>
      <c r="AA16">
        <v>7120</v>
      </c>
    </row>
    <row r="17" spans="1:27" x14ac:dyDescent="0.25">
      <c r="A17" s="23">
        <v>44743</v>
      </c>
      <c r="B17" s="24" t="str">
        <f>VLOOKUP($J17,Sheet2!$A$2:$E$46,5,0)</f>
        <v>WF-2</v>
      </c>
      <c r="J17" t="s">
        <v>35</v>
      </c>
      <c r="L17">
        <v>208</v>
      </c>
      <c r="M17">
        <v>211</v>
      </c>
      <c r="N17">
        <v>51</v>
      </c>
      <c r="O17">
        <v>3142</v>
      </c>
      <c r="P17">
        <v>207</v>
      </c>
      <c r="Q17">
        <v>0</v>
      </c>
      <c r="R17">
        <v>0</v>
      </c>
      <c r="S17">
        <v>0</v>
      </c>
      <c r="T17">
        <v>47</v>
      </c>
      <c r="U17">
        <v>47</v>
      </c>
      <c r="V17">
        <v>0</v>
      </c>
      <c r="W17">
        <v>0</v>
      </c>
      <c r="X17">
        <v>0</v>
      </c>
      <c r="Y17">
        <v>2134</v>
      </c>
      <c r="Z17">
        <v>2102</v>
      </c>
      <c r="AA17">
        <v>6838</v>
      </c>
    </row>
    <row r="18" spans="1:27" x14ac:dyDescent="0.25">
      <c r="A18" s="23">
        <v>44743</v>
      </c>
      <c r="B18" s="24" t="str">
        <f>VLOOKUP($J18,Sheet2!$A$2:$E$46,5,0)</f>
        <v>WF-6</v>
      </c>
      <c r="J18" t="s">
        <v>85</v>
      </c>
      <c r="L18">
        <v>0</v>
      </c>
      <c r="M18">
        <v>0</v>
      </c>
      <c r="N18">
        <v>0</v>
      </c>
      <c r="O18">
        <v>2340</v>
      </c>
      <c r="P18">
        <v>0</v>
      </c>
      <c r="Q18">
        <v>0</v>
      </c>
      <c r="R18">
        <v>0</v>
      </c>
      <c r="S18">
        <v>0</v>
      </c>
      <c r="T18">
        <v>0</v>
      </c>
      <c r="U18">
        <v>0</v>
      </c>
      <c r="V18">
        <v>0</v>
      </c>
      <c r="W18">
        <v>0</v>
      </c>
      <c r="X18">
        <v>0</v>
      </c>
      <c r="Y18">
        <v>1656</v>
      </c>
      <c r="Z18">
        <v>1650</v>
      </c>
      <c r="AA18">
        <v>6267</v>
      </c>
    </row>
    <row r="19" spans="1:27" x14ac:dyDescent="0.25">
      <c r="A19" s="23">
        <v>44743</v>
      </c>
      <c r="B19" s="24" t="str">
        <f>VLOOKUP($J19,Sheet2!$A$2:$E$46,5,0)</f>
        <v>WF-4</v>
      </c>
      <c r="J19" t="s">
        <v>71</v>
      </c>
      <c r="L19">
        <v>154</v>
      </c>
      <c r="M19">
        <v>180</v>
      </c>
      <c r="N19">
        <v>134</v>
      </c>
      <c r="O19">
        <v>2012</v>
      </c>
      <c r="P19">
        <v>154</v>
      </c>
      <c r="Q19">
        <v>0</v>
      </c>
      <c r="R19">
        <v>0</v>
      </c>
      <c r="S19">
        <v>0</v>
      </c>
      <c r="T19">
        <v>108</v>
      </c>
      <c r="U19">
        <v>108</v>
      </c>
      <c r="V19">
        <v>0</v>
      </c>
      <c r="W19">
        <v>0</v>
      </c>
      <c r="X19">
        <v>0</v>
      </c>
      <c r="Y19">
        <v>1373</v>
      </c>
      <c r="Z19">
        <v>1362</v>
      </c>
      <c r="AA19">
        <v>5016</v>
      </c>
    </row>
    <row r="20" spans="1:27" x14ac:dyDescent="0.25">
      <c r="A20" s="23">
        <v>44743</v>
      </c>
      <c r="B20" s="24" t="str">
        <f>VLOOKUP($J20,Sheet2!$A$2:$E$46,5,0)</f>
        <v>WF-6</v>
      </c>
      <c r="J20" t="s">
        <v>77</v>
      </c>
      <c r="L20">
        <v>515</v>
      </c>
      <c r="M20">
        <v>528</v>
      </c>
      <c r="N20">
        <v>153</v>
      </c>
      <c r="O20">
        <v>5832</v>
      </c>
      <c r="P20">
        <v>514</v>
      </c>
      <c r="Q20">
        <v>0</v>
      </c>
      <c r="R20">
        <v>0</v>
      </c>
      <c r="S20">
        <v>0</v>
      </c>
      <c r="T20">
        <v>146</v>
      </c>
      <c r="U20">
        <v>146</v>
      </c>
      <c r="V20">
        <v>0</v>
      </c>
      <c r="W20">
        <v>0</v>
      </c>
      <c r="X20">
        <v>0</v>
      </c>
      <c r="Y20">
        <v>4221</v>
      </c>
      <c r="Z20">
        <v>4163</v>
      </c>
      <c r="AA20">
        <v>15766</v>
      </c>
    </row>
    <row r="21" spans="1:27" x14ac:dyDescent="0.25">
      <c r="A21" s="23">
        <v>44743</v>
      </c>
      <c r="B21" s="24" t="str">
        <f>VLOOKUP($J21,Sheet2!$A$2:$E$46,5,0)</f>
        <v>WF-2</v>
      </c>
      <c r="J21" t="s">
        <v>41</v>
      </c>
      <c r="L21">
        <v>580</v>
      </c>
      <c r="M21">
        <v>621</v>
      </c>
      <c r="N21">
        <v>243</v>
      </c>
      <c r="O21">
        <v>3066</v>
      </c>
      <c r="P21">
        <v>579</v>
      </c>
      <c r="Q21">
        <v>0</v>
      </c>
      <c r="R21">
        <v>0</v>
      </c>
      <c r="S21">
        <v>0</v>
      </c>
      <c r="T21">
        <v>239</v>
      </c>
      <c r="U21">
        <v>238</v>
      </c>
      <c r="V21">
        <v>0</v>
      </c>
      <c r="W21">
        <v>0</v>
      </c>
      <c r="X21">
        <v>0</v>
      </c>
      <c r="Y21">
        <v>2199</v>
      </c>
      <c r="Z21">
        <v>2177</v>
      </c>
      <c r="AA21">
        <v>8094</v>
      </c>
    </row>
    <row r="22" spans="1:27" x14ac:dyDescent="0.25">
      <c r="A22" s="23">
        <v>44743</v>
      </c>
      <c r="B22" s="24" t="str">
        <f>VLOOKUP($J22,Sheet2!$A$2:$E$46,5,0)</f>
        <v>WF-5</v>
      </c>
      <c r="J22" t="s">
        <v>55</v>
      </c>
      <c r="L22">
        <v>4</v>
      </c>
      <c r="M22">
        <v>4</v>
      </c>
      <c r="N22">
        <v>4</v>
      </c>
      <c r="O22">
        <v>2393</v>
      </c>
      <c r="P22">
        <v>4</v>
      </c>
      <c r="Q22">
        <v>0</v>
      </c>
      <c r="R22">
        <v>0</v>
      </c>
      <c r="S22">
        <v>0</v>
      </c>
      <c r="T22">
        <v>4</v>
      </c>
      <c r="U22">
        <v>4</v>
      </c>
      <c r="V22">
        <v>0</v>
      </c>
      <c r="W22">
        <v>0</v>
      </c>
      <c r="X22">
        <v>0</v>
      </c>
      <c r="Y22">
        <v>1655</v>
      </c>
      <c r="Z22">
        <v>1651</v>
      </c>
      <c r="AA22">
        <v>6512</v>
      </c>
    </row>
    <row r="23" spans="1:27" x14ac:dyDescent="0.25">
      <c r="A23" s="23">
        <v>44743</v>
      </c>
      <c r="B23" s="24" t="str">
        <f>VLOOKUP($J23,Sheet2!$A$2:$E$46,5,0)</f>
        <v>WF-5</v>
      </c>
      <c r="J23" t="s">
        <v>65</v>
      </c>
      <c r="L23">
        <v>28</v>
      </c>
      <c r="M23">
        <v>31</v>
      </c>
      <c r="N23">
        <v>7</v>
      </c>
      <c r="O23">
        <v>2466</v>
      </c>
      <c r="P23">
        <v>28</v>
      </c>
      <c r="Q23">
        <v>0</v>
      </c>
      <c r="R23">
        <v>0</v>
      </c>
      <c r="S23">
        <v>0</v>
      </c>
      <c r="T23">
        <v>6</v>
      </c>
      <c r="U23">
        <v>6</v>
      </c>
      <c r="V23">
        <v>0</v>
      </c>
      <c r="W23">
        <v>0</v>
      </c>
      <c r="X23">
        <v>0</v>
      </c>
      <c r="Y23">
        <v>1627</v>
      </c>
      <c r="Z23">
        <v>1622</v>
      </c>
      <c r="AA23">
        <v>5821</v>
      </c>
    </row>
    <row r="24" spans="1:27" x14ac:dyDescent="0.25">
      <c r="A24" s="23">
        <v>44743</v>
      </c>
      <c r="B24" s="24" t="str">
        <f>VLOOKUP($J24,Sheet2!$A$2:$E$46,5,0)</f>
        <v>WF-1</v>
      </c>
      <c r="J24" t="s">
        <v>89</v>
      </c>
      <c r="L24">
        <v>17</v>
      </c>
      <c r="M24">
        <v>32</v>
      </c>
      <c r="N24">
        <v>32</v>
      </c>
      <c r="O24">
        <v>2586</v>
      </c>
      <c r="P24">
        <v>17</v>
      </c>
      <c r="Q24">
        <v>0</v>
      </c>
      <c r="R24">
        <v>0</v>
      </c>
      <c r="S24">
        <v>0</v>
      </c>
      <c r="T24">
        <v>17</v>
      </c>
      <c r="U24">
        <v>17</v>
      </c>
      <c r="V24">
        <v>0</v>
      </c>
      <c r="W24">
        <v>0</v>
      </c>
      <c r="X24">
        <v>0</v>
      </c>
      <c r="Y24">
        <v>1923</v>
      </c>
      <c r="Z24">
        <v>1911</v>
      </c>
      <c r="AA24">
        <v>7149</v>
      </c>
    </row>
    <row r="25" spans="1:27" x14ac:dyDescent="0.25">
      <c r="A25" s="23">
        <v>44743</v>
      </c>
      <c r="B25" s="24" t="str">
        <f>VLOOKUP($J25,Sheet2!$A$2:$E$46,5,0)</f>
        <v>WF-2</v>
      </c>
      <c r="J25" t="s">
        <v>33</v>
      </c>
      <c r="L25">
        <v>728</v>
      </c>
      <c r="M25">
        <v>733</v>
      </c>
      <c r="N25">
        <v>167</v>
      </c>
      <c r="O25">
        <v>5636</v>
      </c>
      <c r="P25">
        <v>728</v>
      </c>
      <c r="Q25">
        <v>0</v>
      </c>
      <c r="R25">
        <v>0</v>
      </c>
      <c r="S25">
        <v>0</v>
      </c>
      <c r="T25">
        <v>166</v>
      </c>
      <c r="U25">
        <v>166</v>
      </c>
      <c r="V25">
        <v>0</v>
      </c>
      <c r="W25">
        <v>0</v>
      </c>
      <c r="X25">
        <v>0</v>
      </c>
      <c r="Y25">
        <v>3657</v>
      </c>
      <c r="Z25">
        <v>3613</v>
      </c>
      <c r="AA25">
        <v>13265</v>
      </c>
    </row>
    <row r="26" spans="1:27" x14ac:dyDescent="0.25">
      <c r="A26" s="23">
        <v>44743</v>
      </c>
      <c r="B26" s="24" t="str">
        <f>VLOOKUP($J26,Sheet2!$A$2:$E$46,5,0)</f>
        <v>WF-6</v>
      </c>
      <c r="J26" t="s">
        <v>103</v>
      </c>
      <c r="L26">
        <v>25</v>
      </c>
      <c r="M26">
        <v>65</v>
      </c>
      <c r="N26">
        <v>65</v>
      </c>
      <c r="O26">
        <v>3740</v>
      </c>
      <c r="P26">
        <v>25</v>
      </c>
      <c r="Q26">
        <v>0</v>
      </c>
      <c r="R26">
        <v>0</v>
      </c>
      <c r="S26">
        <v>0</v>
      </c>
      <c r="T26">
        <v>25</v>
      </c>
      <c r="U26">
        <v>25</v>
      </c>
      <c r="V26">
        <v>0</v>
      </c>
      <c r="W26">
        <v>0</v>
      </c>
      <c r="X26">
        <v>0</v>
      </c>
      <c r="Y26">
        <v>2545</v>
      </c>
      <c r="Z26">
        <v>2518</v>
      </c>
      <c r="AA26">
        <v>9106</v>
      </c>
    </row>
    <row r="27" spans="1:27" x14ac:dyDescent="0.25">
      <c r="A27" s="23">
        <v>44743</v>
      </c>
      <c r="B27" s="24" t="str">
        <f>VLOOKUP($J27,Sheet2!$A$2:$E$46,5,0)</f>
        <v>WF-4</v>
      </c>
      <c r="J27" t="s">
        <v>63</v>
      </c>
      <c r="L27">
        <v>307</v>
      </c>
      <c r="M27">
        <v>308</v>
      </c>
      <c r="N27">
        <v>122</v>
      </c>
      <c r="O27">
        <v>3169</v>
      </c>
      <c r="P27">
        <v>307</v>
      </c>
      <c r="Q27">
        <v>0</v>
      </c>
      <c r="R27">
        <v>0</v>
      </c>
      <c r="S27">
        <v>0</v>
      </c>
      <c r="T27">
        <v>122</v>
      </c>
      <c r="U27">
        <v>122</v>
      </c>
      <c r="V27">
        <v>0</v>
      </c>
      <c r="W27">
        <v>0</v>
      </c>
      <c r="X27">
        <v>0</v>
      </c>
      <c r="Y27">
        <v>2245</v>
      </c>
      <c r="Z27">
        <v>2202</v>
      </c>
      <c r="AA27">
        <v>8120</v>
      </c>
    </row>
    <row r="28" spans="1:27" x14ac:dyDescent="0.25">
      <c r="A28" s="23">
        <v>44743</v>
      </c>
      <c r="B28" s="24" t="str">
        <f>VLOOKUP($J28,Sheet2!$A$2:$E$46,5,0)</f>
        <v>WF-1</v>
      </c>
      <c r="J28" t="s">
        <v>39</v>
      </c>
      <c r="L28">
        <v>98</v>
      </c>
      <c r="M28">
        <v>111</v>
      </c>
      <c r="N28">
        <v>95</v>
      </c>
      <c r="O28">
        <v>3408</v>
      </c>
      <c r="P28">
        <v>98</v>
      </c>
      <c r="Q28">
        <v>0</v>
      </c>
      <c r="R28">
        <v>0</v>
      </c>
      <c r="S28">
        <v>0</v>
      </c>
      <c r="T28">
        <v>88</v>
      </c>
      <c r="U28">
        <v>88</v>
      </c>
      <c r="V28">
        <v>0</v>
      </c>
      <c r="W28">
        <v>0</v>
      </c>
      <c r="X28">
        <v>0</v>
      </c>
      <c r="Y28">
        <v>2362</v>
      </c>
      <c r="Z28">
        <v>2318</v>
      </c>
      <c r="AA28">
        <v>8520</v>
      </c>
    </row>
    <row r="29" spans="1:27" x14ac:dyDescent="0.25">
      <c r="A29" s="23">
        <v>44743</v>
      </c>
      <c r="B29" s="24" t="str">
        <f>VLOOKUP($J29,Sheet2!$A$2:$E$46,5,0)</f>
        <v>WF-5</v>
      </c>
      <c r="J29" t="s">
        <v>67</v>
      </c>
      <c r="L29">
        <v>642</v>
      </c>
      <c r="M29">
        <v>775</v>
      </c>
      <c r="N29">
        <v>456</v>
      </c>
      <c r="O29">
        <v>5560</v>
      </c>
      <c r="P29">
        <v>641</v>
      </c>
      <c r="Q29">
        <v>0</v>
      </c>
      <c r="R29">
        <v>0</v>
      </c>
      <c r="S29">
        <v>0</v>
      </c>
      <c r="T29">
        <v>353</v>
      </c>
      <c r="U29">
        <v>353</v>
      </c>
      <c r="V29">
        <v>0</v>
      </c>
      <c r="W29">
        <v>0</v>
      </c>
      <c r="X29">
        <v>0</v>
      </c>
      <c r="Y29">
        <v>3651</v>
      </c>
      <c r="Z29">
        <v>3576</v>
      </c>
      <c r="AA29">
        <v>15008</v>
      </c>
    </row>
    <row r="30" spans="1:27" x14ac:dyDescent="0.25">
      <c r="A30" s="23">
        <v>44743</v>
      </c>
      <c r="B30" s="24" t="str">
        <f>VLOOKUP($J30,Sheet2!$A$2:$E$46,5,0)</f>
        <v>WF-7</v>
      </c>
      <c r="J30" t="s">
        <v>95</v>
      </c>
      <c r="L30">
        <v>5</v>
      </c>
      <c r="M30">
        <v>5</v>
      </c>
      <c r="N30">
        <v>5</v>
      </c>
      <c r="O30">
        <v>2134</v>
      </c>
      <c r="P30">
        <v>4</v>
      </c>
      <c r="Q30">
        <v>0</v>
      </c>
      <c r="R30">
        <v>0</v>
      </c>
      <c r="S30">
        <v>0</v>
      </c>
      <c r="T30">
        <v>4</v>
      </c>
      <c r="U30">
        <v>4</v>
      </c>
      <c r="V30">
        <v>0</v>
      </c>
      <c r="W30">
        <v>0</v>
      </c>
      <c r="X30">
        <v>0</v>
      </c>
      <c r="Y30">
        <v>1566</v>
      </c>
      <c r="Z30">
        <v>1563</v>
      </c>
      <c r="AA30">
        <v>6375</v>
      </c>
    </row>
    <row r="31" spans="1:27" x14ac:dyDescent="0.25">
      <c r="A31" s="23">
        <v>44743</v>
      </c>
      <c r="B31" s="24" t="str">
        <f>VLOOKUP($J31,Sheet2!$A$2:$E$46,5,0)</f>
        <v>WF-1</v>
      </c>
      <c r="J31" t="s">
        <v>101</v>
      </c>
      <c r="L31">
        <v>498</v>
      </c>
      <c r="M31">
        <v>502</v>
      </c>
      <c r="N31">
        <v>37</v>
      </c>
      <c r="O31">
        <v>1697</v>
      </c>
      <c r="P31">
        <v>498</v>
      </c>
      <c r="Q31">
        <v>0</v>
      </c>
      <c r="R31">
        <v>0</v>
      </c>
      <c r="S31">
        <v>0</v>
      </c>
      <c r="T31">
        <v>34</v>
      </c>
      <c r="U31">
        <v>34</v>
      </c>
      <c r="V31">
        <v>0</v>
      </c>
      <c r="W31">
        <v>0</v>
      </c>
      <c r="X31">
        <v>0</v>
      </c>
      <c r="Y31">
        <v>1301</v>
      </c>
      <c r="Z31">
        <v>1298</v>
      </c>
      <c r="AA31">
        <v>4410</v>
      </c>
    </row>
    <row r="32" spans="1:27" x14ac:dyDescent="0.25">
      <c r="A32" s="23">
        <v>44743</v>
      </c>
      <c r="B32" s="24" t="str">
        <f>VLOOKUP($J32,Sheet2!$A$2:$E$46,5,0)</f>
        <v>WF-4</v>
      </c>
      <c r="J32" t="s">
        <v>53</v>
      </c>
      <c r="L32">
        <v>75</v>
      </c>
      <c r="M32">
        <v>77</v>
      </c>
      <c r="N32">
        <v>76</v>
      </c>
      <c r="O32">
        <v>2254</v>
      </c>
      <c r="P32">
        <v>75</v>
      </c>
      <c r="Q32">
        <v>0</v>
      </c>
      <c r="R32">
        <v>0</v>
      </c>
      <c r="S32">
        <v>0</v>
      </c>
      <c r="T32">
        <v>75</v>
      </c>
      <c r="U32">
        <v>75</v>
      </c>
      <c r="V32">
        <v>0</v>
      </c>
      <c r="W32">
        <v>0</v>
      </c>
      <c r="X32">
        <v>0</v>
      </c>
      <c r="Y32">
        <v>1605</v>
      </c>
      <c r="Z32">
        <v>1585</v>
      </c>
      <c r="AA32">
        <v>6908</v>
      </c>
    </row>
    <row r="33" spans="1:27" x14ac:dyDescent="0.25">
      <c r="A33" s="23">
        <v>44743</v>
      </c>
      <c r="B33" s="24" t="str">
        <f>VLOOKUP($J33,Sheet2!$A$2:$E$46,5,0)</f>
        <v>WF-1</v>
      </c>
      <c r="J33" t="s">
        <v>37</v>
      </c>
      <c r="L33">
        <v>26</v>
      </c>
      <c r="M33">
        <v>31</v>
      </c>
      <c r="N33">
        <v>31</v>
      </c>
      <c r="O33">
        <v>1584</v>
      </c>
      <c r="P33">
        <v>26</v>
      </c>
      <c r="Q33">
        <v>0</v>
      </c>
      <c r="R33">
        <v>0</v>
      </c>
      <c r="S33">
        <v>0</v>
      </c>
      <c r="T33">
        <v>26</v>
      </c>
      <c r="U33">
        <v>26</v>
      </c>
      <c r="V33">
        <v>0</v>
      </c>
      <c r="W33">
        <v>0</v>
      </c>
      <c r="X33">
        <v>0</v>
      </c>
      <c r="Y33">
        <v>968</v>
      </c>
      <c r="Z33">
        <v>966</v>
      </c>
      <c r="AA33">
        <v>3893</v>
      </c>
    </row>
    <row r="34" spans="1:27" x14ac:dyDescent="0.25">
      <c r="A34" s="23">
        <v>44743</v>
      </c>
      <c r="B34" s="24" t="str">
        <f>VLOOKUP($J34,Sheet2!$A$2:$E$46,5,0)</f>
        <v>WF-5</v>
      </c>
      <c r="J34" t="s">
        <v>61</v>
      </c>
      <c r="L34">
        <v>5</v>
      </c>
      <c r="M34">
        <v>5</v>
      </c>
      <c r="N34">
        <v>2</v>
      </c>
      <c r="O34">
        <v>1471</v>
      </c>
      <c r="P34">
        <v>5</v>
      </c>
      <c r="Q34">
        <v>0</v>
      </c>
      <c r="R34">
        <v>0</v>
      </c>
      <c r="S34">
        <v>0</v>
      </c>
      <c r="T34">
        <v>2</v>
      </c>
      <c r="U34">
        <v>2</v>
      </c>
      <c r="V34">
        <v>0</v>
      </c>
      <c r="W34">
        <v>0</v>
      </c>
      <c r="X34">
        <v>0</v>
      </c>
      <c r="Y34">
        <v>953</v>
      </c>
      <c r="Z34">
        <v>940</v>
      </c>
      <c r="AA34">
        <v>3873</v>
      </c>
    </row>
    <row r="35" spans="1:27" x14ac:dyDescent="0.25">
      <c r="A35" s="23">
        <v>44743</v>
      </c>
      <c r="B35" s="24" t="str">
        <f>VLOOKUP($J35,Sheet2!$A$2:$E$46,5,0)</f>
        <v>WF-5</v>
      </c>
      <c r="J35" t="s">
        <v>69</v>
      </c>
      <c r="L35">
        <v>40</v>
      </c>
      <c r="M35">
        <v>41</v>
      </c>
      <c r="N35">
        <v>38</v>
      </c>
      <c r="O35">
        <v>1309</v>
      </c>
      <c r="P35">
        <v>40</v>
      </c>
      <c r="Q35">
        <v>0</v>
      </c>
      <c r="R35">
        <v>0</v>
      </c>
      <c r="S35">
        <v>0</v>
      </c>
      <c r="T35">
        <v>38</v>
      </c>
      <c r="U35">
        <v>38</v>
      </c>
      <c r="V35">
        <v>0</v>
      </c>
      <c r="W35">
        <v>0</v>
      </c>
      <c r="X35">
        <v>0</v>
      </c>
      <c r="Y35">
        <v>884</v>
      </c>
      <c r="Z35">
        <v>872</v>
      </c>
      <c r="AA35">
        <v>3532</v>
      </c>
    </row>
    <row r="36" spans="1:27" x14ac:dyDescent="0.25">
      <c r="A36" s="23">
        <v>44743</v>
      </c>
      <c r="B36" s="24" t="str">
        <f>VLOOKUP($J36,Sheet2!$A$2:$E$46,5,0)</f>
        <v>WF-6</v>
      </c>
      <c r="J36" t="s">
        <v>79</v>
      </c>
      <c r="L36">
        <v>28</v>
      </c>
      <c r="M36">
        <v>35</v>
      </c>
      <c r="N36">
        <v>31</v>
      </c>
      <c r="O36">
        <v>1161</v>
      </c>
      <c r="P36">
        <v>28</v>
      </c>
      <c r="Q36">
        <v>0</v>
      </c>
      <c r="R36">
        <v>0</v>
      </c>
      <c r="S36">
        <v>0</v>
      </c>
      <c r="T36">
        <v>29</v>
      </c>
      <c r="U36">
        <v>29</v>
      </c>
      <c r="V36">
        <v>0</v>
      </c>
      <c r="W36">
        <v>0</v>
      </c>
      <c r="X36">
        <v>0</v>
      </c>
      <c r="Y36">
        <v>719</v>
      </c>
      <c r="Z36">
        <v>705</v>
      </c>
      <c r="AA36">
        <v>2797</v>
      </c>
    </row>
    <row r="37" spans="1:27" x14ac:dyDescent="0.25">
      <c r="A37" s="23">
        <v>44743</v>
      </c>
      <c r="B37" s="24" t="str">
        <f>VLOOKUP($J37,Sheet2!$A$2:$E$46,5,0)</f>
        <v>WF-4</v>
      </c>
      <c r="J37" t="s">
        <v>57</v>
      </c>
      <c r="L37">
        <v>193</v>
      </c>
      <c r="M37">
        <v>195</v>
      </c>
      <c r="N37">
        <v>99</v>
      </c>
      <c r="O37">
        <v>1238</v>
      </c>
      <c r="P37">
        <v>193</v>
      </c>
      <c r="Q37">
        <v>0</v>
      </c>
      <c r="R37">
        <v>0</v>
      </c>
      <c r="S37">
        <v>0</v>
      </c>
      <c r="T37">
        <v>97</v>
      </c>
      <c r="U37">
        <v>97</v>
      </c>
      <c r="V37">
        <v>0</v>
      </c>
      <c r="W37">
        <v>0</v>
      </c>
      <c r="X37">
        <v>0</v>
      </c>
      <c r="Y37">
        <v>834</v>
      </c>
      <c r="Z37">
        <v>825</v>
      </c>
      <c r="AA37">
        <v>3417</v>
      </c>
    </row>
    <row r="38" spans="1:27" x14ac:dyDescent="0.25">
      <c r="A38" s="23">
        <v>44743</v>
      </c>
      <c r="B38" s="24" t="str">
        <f>VLOOKUP($J38,Sheet2!$A$2:$E$46,5,0)</f>
        <v>WF-2</v>
      </c>
      <c r="J38" t="s">
        <v>31</v>
      </c>
      <c r="L38">
        <v>188</v>
      </c>
      <c r="M38">
        <v>196</v>
      </c>
      <c r="N38">
        <v>101</v>
      </c>
      <c r="O38">
        <v>3657</v>
      </c>
      <c r="P38">
        <v>187</v>
      </c>
      <c r="Q38">
        <v>0</v>
      </c>
      <c r="R38">
        <v>0</v>
      </c>
      <c r="S38">
        <v>0</v>
      </c>
      <c r="T38">
        <v>96</v>
      </c>
      <c r="U38">
        <v>96</v>
      </c>
      <c r="V38">
        <v>0</v>
      </c>
      <c r="W38">
        <v>0</v>
      </c>
      <c r="X38">
        <v>0</v>
      </c>
      <c r="Y38">
        <v>2281</v>
      </c>
      <c r="Z38">
        <v>2240</v>
      </c>
      <c r="AA38">
        <v>9422</v>
      </c>
    </row>
    <row r="39" spans="1:27" x14ac:dyDescent="0.25">
      <c r="A39" s="23">
        <v>44743</v>
      </c>
      <c r="B39" s="24" t="str">
        <f>VLOOKUP($J39,Sheet2!$A$2:$E$46,5,0)</f>
        <v>WF-1</v>
      </c>
      <c r="J39" t="s">
        <v>97</v>
      </c>
      <c r="L39">
        <v>17</v>
      </c>
      <c r="M39">
        <v>17</v>
      </c>
      <c r="N39">
        <v>17</v>
      </c>
      <c r="O39">
        <v>2416</v>
      </c>
      <c r="P39">
        <v>17</v>
      </c>
      <c r="Q39">
        <v>0</v>
      </c>
      <c r="R39">
        <v>0</v>
      </c>
      <c r="S39">
        <v>0</v>
      </c>
      <c r="T39">
        <v>17</v>
      </c>
      <c r="U39">
        <v>17</v>
      </c>
      <c r="V39">
        <v>0</v>
      </c>
      <c r="W39">
        <v>0</v>
      </c>
      <c r="X39">
        <v>0</v>
      </c>
      <c r="Y39">
        <v>1591</v>
      </c>
      <c r="Z39">
        <v>1578</v>
      </c>
      <c r="AA39">
        <v>6295</v>
      </c>
    </row>
    <row r="40" spans="1:27" x14ac:dyDescent="0.25">
      <c r="A40" s="23">
        <v>44743</v>
      </c>
      <c r="B40" s="24" t="str">
        <f>VLOOKUP($J40,Sheet2!$A$2:$E$46,5,0)</f>
        <v>Total</v>
      </c>
      <c r="J40" t="s">
        <v>107</v>
      </c>
      <c r="L40">
        <v>5422</v>
      </c>
      <c r="M40">
        <v>5846</v>
      </c>
      <c r="N40">
        <v>2487</v>
      </c>
      <c r="O40">
        <v>103774</v>
      </c>
      <c r="P40">
        <v>5415</v>
      </c>
      <c r="Q40">
        <v>0</v>
      </c>
      <c r="R40">
        <v>0</v>
      </c>
      <c r="S40">
        <v>0</v>
      </c>
      <c r="T40">
        <v>2219</v>
      </c>
      <c r="U40">
        <v>2198</v>
      </c>
      <c r="V40">
        <v>0</v>
      </c>
      <c r="W40">
        <v>0</v>
      </c>
      <c r="X40">
        <v>0</v>
      </c>
      <c r="Y40">
        <v>71358</v>
      </c>
      <c r="Z40">
        <v>70571</v>
      </c>
      <c r="AA40">
        <v>271047</v>
      </c>
    </row>
    <row r="41" spans="1:27" x14ac:dyDescent="0.25">
      <c r="A41" s="23">
        <v>44743</v>
      </c>
      <c r="B41" s="24" t="str">
        <f>VLOOKUP($J41,Sheet2!$A$2:$E$46,5,0)</f>
        <v>WF-7</v>
      </c>
      <c r="J41" t="s">
        <v>118</v>
      </c>
      <c r="L41">
        <v>1</v>
      </c>
      <c r="M41">
        <v>1</v>
      </c>
      <c r="N41">
        <v>1</v>
      </c>
      <c r="O41">
        <v>1295</v>
      </c>
      <c r="P41">
        <v>1</v>
      </c>
      <c r="Q41">
        <v>0</v>
      </c>
      <c r="R41">
        <v>0</v>
      </c>
      <c r="S41" s="178">
        <v>0</v>
      </c>
      <c r="T41" s="178">
        <v>1</v>
      </c>
      <c r="U41">
        <v>1</v>
      </c>
      <c r="V41">
        <v>0</v>
      </c>
      <c r="W41">
        <v>0</v>
      </c>
      <c r="X41" s="178">
        <v>0</v>
      </c>
      <c r="Y41" s="178">
        <v>1289</v>
      </c>
      <c r="Z41">
        <v>1288</v>
      </c>
    </row>
    <row r="42" spans="1:27" x14ac:dyDescent="0.25">
      <c r="A42" s="23">
        <v>44743</v>
      </c>
      <c r="B42" s="24" t="str">
        <f>VLOOKUP($J42,Sheet2!$A$2:$E$46,5,0)</f>
        <v>WF-7</v>
      </c>
      <c r="J42" t="s">
        <v>116</v>
      </c>
      <c r="L42">
        <v>19</v>
      </c>
      <c r="M42">
        <v>20</v>
      </c>
      <c r="N42">
        <v>37</v>
      </c>
      <c r="O42">
        <v>2498</v>
      </c>
      <c r="P42">
        <v>19</v>
      </c>
      <c r="Q42">
        <v>0</v>
      </c>
      <c r="R42">
        <v>0</v>
      </c>
      <c r="S42" s="178">
        <v>0</v>
      </c>
      <c r="T42" s="178">
        <v>36</v>
      </c>
      <c r="U42">
        <v>36</v>
      </c>
      <c r="V42">
        <v>0</v>
      </c>
      <c r="W42">
        <v>0</v>
      </c>
      <c r="X42" s="178">
        <v>0</v>
      </c>
      <c r="Y42" s="178">
        <v>2492</v>
      </c>
      <c r="Z42">
        <v>2468</v>
      </c>
    </row>
    <row r="43" spans="1:27" x14ac:dyDescent="0.25">
      <c r="A43" s="23">
        <v>44743</v>
      </c>
      <c r="B43" s="24" t="str">
        <f>VLOOKUP($J43,Sheet2!$A$2:$E$46,5,0)</f>
        <v>WF-7</v>
      </c>
      <c r="J43" t="s">
        <v>120</v>
      </c>
      <c r="L43">
        <v>37</v>
      </c>
      <c r="M43">
        <v>37</v>
      </c>
      <c r="N43">
        <v>38</v>
      </c>
      <c r="O43">
        <v>1811</v>
      </c>
      <c r="P43">
        <v>37</v>
      </c>
      <c r="Q43">
        <v>0</v>
      </c>
      <c r="R43">
        <v>0</v>
      </c>
      <c r="S43" s="178">
        <v>0</v>
      </c>
      <c r="T43" s="178">
        <v>38</v>
      </c>
      <c r="U43">
        <v>38</v>
      </c>
      <c r="V43">
        <v>0</v>
      </c>
      <c r="W43">
        <v>0</v>
      </c>
      <c r="X43" s="178">
        <v>0</v>
      </c>
      <c r="Y43" s="178">
        <v>1799</v>
      </c>
      <c r="Z43">
        <v>1779</v>
      </c>
    </row>
    <row r="44" spans="1:27" x14ac:dyDescent="0.25">
      <c r="A44" s="23">
        <v>44743</v>
      </c>
      <c r="B44" s="24" t="str">
        <f>VLOOKUP($J44,Sheet2!$A$2:$E$46,5,0)</f>
        <v>WF-1</v>
      </c>
      <c r="J44" t="s">
        <v>113</v>
      </c>
      <c r="L44">
        <v>10</v>
      </c>
      <c r="M44">
        <v>10</v>
      </c>
      <c r="N44">
        <v>14</v>
      </c>
      <c r="O44">
        <v>1544</v>
      </c>
      <c r="P44">
        <v>10</v>
      </c>
      <c r="Q44">
        <v>0</v>
      </c>
      <c r="R44">
        <v>0</v>
      </c>
      <c r="S44" s="178">
        <v>0</v>
      </c>
      <c r="T44" s="178">
        <v>14</v>
      </c>
      <c r="U44">
        <v>14</v>
      </c>
      <c r="V44">
        <v>0</v>
      </c>
      <c r="W44">
        <v>0</v>
      </c>
      <c r="X44" s="178">
        <v>0</v>
      </c>
      <c r="Y44" s="178">
        <v>1533</v>
      </c>
      <c r="Z44">
        <v>1514</v>
      </c>
    </row>
    <row r="45" spans="1:27" x14ac:dyDescent="0.25">
      <c r="A45" s="23">
        <v>44743</v>
      </c>
      <c r="B45" s="24" t="str">
        <f>VLOOKUP($J45,Sheet2!$A$2:$E$46,5,0)</f>
        <v>WF-1</v>
      </c>
      <c r="J45" t="s">
        <v>110</v>
      </c>
      <c r="L45">
        <v>42</v>
      </c>
      <c r="M45">
        <v>43</v>
      </c>
      <c r="N45">
        <v>43</v>
      </c>
      <c r="O45">
        <v>1398</v>
      </c>
      <c r="P45">
        <v>42</v>
      </c>
      <c r="Q45">
        <v>0</v>
      </c>
      <c r="R45">
        <v>0</v>
      </c>
      <c r="S45" s="178">
        <v>0</v>
      </c>
      <c r="T45" s="178">
        <v>42</v>
      </c>
      <c r="U45">
        <v>42</v>
      </c>
      <c r="V45">
        <v>0</v>
      </c>
      <c r="W45">
        <v>0</v>
      </c>
      <c r="X45" s="178">
        <v>0</v>
      </c>
      <c r="Y45" s="178">
        <v>1394</v>
      </c>
      <c r="Z45">
        <v>1377</v>
      </c>
    </row>
    <row r="46" spans="1:27" x14ac:dyDescent="0.25">
      <c r="A46" s="23">
        <v>44743</v>
      </c>
      <c r="B46" s="24" t="str">
        <f>VLOOKUP($J46,Sheet2!$A$2:$E$46,5,0)</f>
        <v>WF-4</v>
      </c>
      <c r="J46" t="s">
        <v>75</v>
      </c>
      <c r="L46">
        <v>5</v>
      </c>
      <c r="M46">
        <v>40</v>
      </c>
      <c r="N46">
        <v>69</v>
      </c>
      <c r="O46">
        <v>4139</v>
      </c>
      <c r="P46">
        <v>4</v>
      </c>
      <c r="T46">
        <v>65</v>
      </c>
      <c r="U46">
        <v>54</v>
      </c>
      <c r="Y46">
        <v>2848</v>
      </c>
      <c r="Z46">
        <v>2619</v>
      </c>
      <c r="AA46">
        <v>9958</v>
      </c>
    </row>
    <row r="47" spans="1:27" x14ac:dyDescent="0.25">
      <c r="A47" s="23">
        <v>44743</v>
      </c>
      <c r="B47" s="24" t="str">
        <f>VLOOKUP($J47,Sheet2!$A$2:$E$46,5,0)</f>
        <v>WF-1</v>
      </c>
      <c r="J47" t="s">
        <v>105</v>
      </c>
      <c r="L47">
        <v>2</v>
      </c>
      <c r="M47">
        <v>79</v>
      </c>
      <c r="N47">
        <v>109</v>
      </c>
      <c r="O47">
        <v>2896</v>
      </c>
      <c r="P47">
        <v>1</v>
      </c>
      <c r="T47">
        <v>91</v>
      </c>
      <c r="U47">
        <v>67</v>
      </c>
      <c r="Y47">
        <v>2156</v>
      </c>
      <c r="Z47">
        <v>2000</v>
      </c>
      <c r="AA47">
        <v>7181</v>
      </c>
    </row>
    <row r="48" spans="1:27" x14ac:dyDescent="0.25">
      <c r="A48" s="23">
        <v>44743</v>
      </c>
      <c r="B48" s="24" t="str">
        <f>VLOOKUP($J48,Sheet2!$A$2:$E$46,5,0)</f>
        <v>WF-1</v>
      </c>
      <c r="J48" t="s">
        <v>106</v>
      </c>
      <c r="L48">
        <v>6</v>
      </c>
      <c r="M48">
        <v>114</v>
      </c>
      <c r="N48">
        <v>48</v>
      </c>
      <c r="O48">
        <v>6842</v>
      </c>
      <c r="P48">
        <v>5</v>
      </c>
      <c r="T48">
        <v>40</v>
      </c>
      <c r="U48">
        <v>12</v>
      </c>
      <c r="Y48">
        <v>5050</v>
      </c>
      <c r="Z48">
        <v>4568</v>
      </c>
      <c r="AA48">
        <v>15938</v>
      </c>
    </row>
    <row r="49" spans="1:27" x14ac:dyDescent="0.25">
      <c r="A49" s="23">
        <v>44743</v>
      </c>
      <c r="B49" s="24" t="str">
        <f>VLOOKUP($J49,Sheet2!$A$2:$E$46,5,0)</f>
        <v>WF-3</v>
      </c>
      <c r="E49" s="8"/>
      <c r="J49" t="s">
        <v>73</v>
      </c>
      <c r="L49">
        <v>36</v>
      </c>
      <c r="M49">
        <v>177</v>
      </c>
      <c r="N49">
        <v>151</v>
      </c>
      <c r="O49">
        <v>5531</v>
      </c>
      <c r="P49">
        <v>22</v>
      </c>
      <c r="T49">
        <v>141</v>
      </c>
      <c r="U49">
        <v>83</v>
      </c>
      <c r="Y49">
        <v>4003</v>
      </c>
      <c r="Z49">
        <v>3629</v>
      </c>
      <c r="AA49">
        <v>15046</v>
      </c>
    </row>
    <row r="50" spans="1:27" x14ac:dyDescent="0.25">
      <c r="A50" s="23">
        <v>44743</v>
      </c>
      <c r="B50" s="24" t="str">
        <f>VLOOKUP($J50,Sheet2!$A$2:$E$46,5,0)</f>
        <v>WF-1</v>
      </c>
      <c r="J50" t="s">
        <v>43</v>
      </c>
      <c r="M50">
        <v>3</v>
      </c>
      <c r="N50">
        <v>3</v>
      </c>
      <c r="O50">
        <v>2103</v>
      </c>
      <c r="T50">
        <v>2</v>
      </c>
      <c r="U50">
        <v>2</v>
      </c>
      <c r="Y50">
        <v>1434</v>
      </c>
      <c r="Z50">
        <v>1346</v>
      </c>
      <c r="AA50">
        <v>5093</v>
      </c>
    </row>
    <row r="51" spans="1:27" x14ac:dyDescent="0.25">
      <c r="A51" s="23">
        <v>44835</v>
      </c>
      <c r="B51" s="24" t="e">
        <f>VLOOKUP($J51,Sheet2!$A$2:$E$46,5,0)</f>
        <v>#N/A</v>
      </c>
      <c r="C51" t="s">
        <v>185</v>
      </c>
      <c r="E51" t="s">
        <v>186</v>
      </c>
      <c r="G51" t="s">
        <v>187</v>
      </c>
      <c r="H51">
        <v>563355</v>
      </c>
      <c r="K51" t="s">
        <v>188</v>
      </c>
      <c r="L51" t="s">
        <v>189</v>
      </c>
      <c r="M51" t="s">
        <v>271</v>
      </c>
      <c r="N51" t="s">
        <v>272</v>
      </c>
      <c r="O51" t="s">
        <v>192</v>
      </c>
      <c r="P51" t="s">
        <v>193</v>
      </c>
      <c r="Q51" t="s">
        <v>194</v>
      </c>
      <c r="R51" t="s">
        <v>195</v>
      </c>
      <c r="S51" t="s">
        <v>196</v>
      </c>
      <c r="T51" t="s">
        <v>197</v>
      </c>
      <c r="U51" t="s">
        <v>198</v>
      </c>
      <c r="V51" t="s">
        <v>199</v>
      </c>
      <c r="W51" t="s">
        <v>200</v>
      </c>
      <c r="X51" t="s">
        <v>201</v>
      </c>
      <c r="Y51" t="s">
        <v>202</v>
      </c>
      <c r="Z51" t="s">
        <v>203</v>
      </c>
      <c r="AA51" t="s">
        <v>204</v>
      </c>
    </row>
    <row r="52" spans="1:27" x14ac:dyDescent="0.25">
      <c r="A52" s="23">
        <v>44835</v>
      </c>
      <c r="B52" s="24" t="e">
        <f>VLOOKUP($J52,Sheet2!$A$2:$E$46,5,0)</f>
        <v>#N/A</v>
      </c>
      <c r="E52" s="8">
        <v>44851.404166666667</v>
      </c>
      <c r="G52" t="s">
        <v>205</v>
      </c>
      <c r="H52">
        <v>291928</v>
      </c>
      <c r="J52" t="s">
        <v>29</v>
      </c>
      <c r="R52"/>
      <c r="S52"/>
      <c r="W52"/>
      <c r="X52"/>
    </row>
    <row r="53" spans="1:27" x14ac:dyDescent="0.25">
      <c r="A53" s="23">
        <v>44835</v>
      </c>
      <c r="B53" s="24" t="str">
        <f>VLOOKUP($J53,Sheet2!$A$2:$E$46,5,0)</f>
        <v>WF-6</v>
      </c>
      <c r="E53" t="s">
        <v>206</v>
      </c>
      <c r="G53" t="s">
        <v>207</v>
      </c>
      <c r="H53">
        <v>271427</v>
      </c>
      <c r="J53" t="s">
        <v>81</v>
      </c>
      <c r="L53">
        <v>197</v>
      </c>
      <c r="M53">
        <v>271</v>
      </c>
      <c r="N53">
        <v>182</v>
      </c>
      <c r="O53">
        <v>3337</v>
      </c>
      <c r="P53">
        <v>111</v>
      </c>
      <c r="Q53">
        <v>89</v>
      </c>
      <c r="R53">
        <v>0</v>
      </c>
      <c r="S53">
        <v>0</v>
      </c>
      <c r="T53">
        <v>159</v>
      </c>
      <c r="U53">
        <v>84</v>
      </c>
      <c r="V53">
        <v>76</v>
      </c>
      <c r="W53">
        <v>0</v>
      </c>
      <c r="X53">
        <v>0</v>
      </c>
      <c r="Y53">
        <v>2205</v>
      </c>
      <c r="Z53">
        <v>2187</v>
      </c>
      <c r="AA53">
        <v>7717</v>
      </c>
    </row>
    <row r="54" spans="1:27" x14ac:dyDescent="0.25">
      <c r="A54" s="23">
        <v>44835</v>
      </c>
      <c r="B54" s="24" t="str">
        <f>VLOOKUP($J54,Sheet2!$A$2:$E$46,5,0)</f>
        <v>WF-1</v>
      </c>
      <c r="E54" s="7">
        <v>44835</v>
      </c>
      <c r="J54" t="s">
        <v>83</v>
      </c>
      <c r="L54">
        <v>793</v>
      </c>
      <c r="M54">
        <v>811</v>
      </c>
      <c r="N54">
        <v>116</v>
      </c>
      <c r="O54">
        <v>3411</v>
      </c>
      <c r="P54">
        <v>318</v>
      </c>
      <c r="Q54">
        <v>480</v>
      </c>
      <c r="R54">
        <v>0</v>
      </c>
      <c r="S54">
        <v>0</v>
      </c>
      <c r="T54">
        <v>107</v>
      </c>
      <c r="U54">
        <v>50</v>
      </c>
      <c r="V54">
        <v>57</v>
      </c>
      <c r="W54">
        <v>0</v>
      </c>
      <c r="X54">
        <v>0</v>
      </c>
      <c r="Y54">
        <v>2514</v>
      </c>
      <c r="Z54">
        <v>2500</v>
      </c>
      <c r="AA54">
        <v>9534</v>
      </c>
    </row>
    <row r="55" spans="1:27" x14ac:dyDescent="0.25">
      <c r="A55" s="23">
        <v>44835</v>
      </c>
      <c r="B55" s="24" t="str">
        <f>VLOOKUP($J55,Sheet2!$A$2:$E$46,5,0)</f>
        <v>WF-7</v>
      </c>
      <c r="J55" t="s">
        <v>87</v>
      </c>
      <c r="L55">
        <v>11</v>
      </c>
      <c r="M55">
        <v>12</v>
      </c>
      <c r="N55">
        <v>9</v>
      </c>
      <c r="O55">
        <v>2782</v>
      </c>
      <c r="P55">
        <v>3</v>
      </c>
      <c r="Q55">
        <v>7</v>
      </c>
      <c r="R55">
        <v>0</v>
      </c>
      <c r="S55">
        <v>0</v>
      </c>
      <c r="T55">
        <v>9</v>
      </c>
      <c r="U55">
        <v>1</v>
      </c>
      <c r="V55">
        <v>7</v>
      </c>
      <c r="W55">
        <v>0</v>
      </c>
      <c r="X55">
        <v>0</v>
      </c>
      <c r="Y55">
        <v>1869</v>
      </c>
      <c r="Z55">
        <v>1862</v>
      </c>
      <c r="AA55">
        <v>6946</v>
      </c>
    </row>
    <row r="56" spans="1:27" x14ac:dyDescent="0.25">
      <c r="A56" s="23">
        <v>44835</v>
      </c>
      <c r="B56" s="24" t="str">
        <f>VLOOKUP($J56,Sheet2!$A$2:$E$46,5,0)</f>
        <v>WF-3</v>
      </c>
      <c r="J56" t="s">
        <v>45</v>
      </c>
      <c r="L56">
        <v>29</v>
      </c>
      <c r="M56">
        <v>47</v>
      </c>
      <c r="N56">
        <v>36</v>
      </c>
      <c r="O56">
        <v>3940</v>
      </c>
      <c r="P56">
        <v>14</v>
      </c>
      <c r="Q56">
        <v>15</v>
      </c>
      <c r="R56">
        <v>0</v>
      </c>
      <c r="S56">
        <v>0</v>
      </c>
      <c r="T56">
        <v>22</v>
      </c>
      <c r="U56">
        <v>9</v>
      </c>
      <c r="V56">
        <v>13</v>
      </c>
      <c r="W56">
        <v>0</v>
      </c>
      <c r="X56">
        <v>0</v>
      </c>
      <c r="Y56">
        <v>2597</v>
      </c>
      <c r="Z56">
        <v>2569</v>
      </c>
      <c r="AA56">
        <v>9832</v>
      </c>
    </row>
    <row r="57" spans="1:27" x14ac:dyDescent="0.25">
      <c r="A57" s="23">
        <v>44835</v>
      </c>
      <c r="B57" s="24" t="str">
        <f>VLOOKUP($J57,Sheet2!$A$2:$E$46,5,0)</f>
        <v>WF-7</v>
      </c>
      <c r="J57" t="s">
        <v>91</v>
      </c>
      <c r="L57">
        <v>35</v>
      </c>
      <c r="M57">
        <v>41</v>
      </c>
      <c r="N57">
        <v>39</v>
      </c>
      <c r="O57">
        <v>2903</v>
      </c>
      <c r="P57">
        <v>23</v>
      </c>
      <c r="Q57">
        <v>12</v>
      </c>
      <c r="R57">
        <v>0</v>
      </c>
      <c r="S57">
        <v>0</v>
      </c>
      <c r="T57">
        <v>34</v>
      </c>
      <c r="U57">
        <v>2</v>
      </c>
      <c r="V57">
        <v>0</v>
      </c>
      <c r="W57">
        <v>0</v>
      </c>
      <c r="X57">
        <v>0</v>
      </c>
      <c r="Y57">
        <v>1937</v>
      </c>
      <c r="Z57">
        <v>1915</v>
      </c>
      <c r="AA57">
        <v>8277</v>
      </c>
    </row>
    <row r="58" spans="1:27" x14ac:dyDescent="0.25">
      <c r="A58" s="23">
        <v>44835</v>
      </c>
      <c r="B58" s="24" t="str">
        <f>VLOOKUP($J58,Sheet2!$A$2:$E$46,5,0)</f>
        <v>WF-4</v>
      </c>
      <c r="J58" t="s">
        <v>47</v>
      </c>
      <c r="L58">
        <v>1614</v>
      </c>
      <c r="M58">
        <v>1621</v>
      </c>
      <c r="N58">
        <v>408</v>
      </c>
      <c r="O58">
        <v>6130</v>
      </c>
      <c r="P58">
        <v>384</v>
      </c>
      <c r="Q58">
        <v>1247</v>
      </c>
      <c r="R58">
        <v>0</v>
      </c>
      <c r="S58">
        <v>0</v>
      </c>
      <c r="T58">
        <v>405</v>
      </c>
      <c r="U58">
        <v>168</v>
      </c>
      <c r="V58">
        <v>235</v>
      </c>
      <c r="W58">
        <v>0</v>
      </c>
      <c r="X58">
        <v>0</v>
      </c>
      <c r="Y58">
        <v>4402</v>
      </c>
      <c r="Z58">
        <v>4341</v>
      </c>
      <c r="AA58">
        <v>14458</v>
      </c>
    </row>
    <row r="59" spans="1:27" x14ac:dyDescent="0.25">
      <c r="A59" s="23">
        <v>44835</v>
      </c>
      <c r="B59" s="24" t="str">
        <f>VLOOKUP($J59,Sheet2!$A$2:$E$46,5,0)</f>
        <v>WF-3</v>
      </c>
      <c r="J59" t="s">
        <v>49</v>
      </c>
      <c r="L59">
        <v>76</v>
      </c>
      <c r="M59">
        <v>92</v>
      </c>
      <c r="N59">
        <v>80</v>
      </c>
      <c r="O59">
        <v>4042</v>
      </c>
      <c r="P59">
        <v>15</v>
      </c>
      <c r="Q59">
        <v>60</v>
      </c>
      <c r="R59">
        <v>0</v>
      </c>
      <c r="S59">
        <v>0</v>
      </c>
      <c r="T59">
        <v>73</v>
      </c>
      <c r="U59">
        <v>14</v>
      </c>
      <c r="V59">
        <v>59</v>
      </c>
      <c r="W59">
        <v>0</v>
      </c>
      <c r="X59">
        <v>0</v>
      </c>
      <c r="Y59">
        <v>2635</v>
      </c>
      <c r="Z59">
        <v>2589</v>
      </c>
      <c r="AA59">
        <v>11159</v>
      </c>
    </row>
    <row r="60" spans="1:27" x14ac:dyDescent="0.25">
      <c r="A60" s="23">
        <v>44835</v>
      </c>
      <c r="B60" s="24" t="str">
        <f>VLOOKUP($J60,Sheet2!$A$2:$E$46,5,0)</f>
        <v>WF-4</v>
      </c>
      <c r="J60" t="s">
        <v>51</v>
      </c>
      <c r="L60">
        <v>67</v>
      </c>
      <c r="M60">
        <v>74</v>
      </c>
      <c r="N60">
        <v>57</v>
      </c>
      <c r="O60">
        <v>3464</v>
      </c>
      <c r="P60">
        <v>47</v>
      </c>
      <c r="Q60">
        <v>20</v>
      </c>
      <c r="R60">
        <v>0</v>
      </c>
      <c r="S60">
        <v>0</v>
      </c>
      <c r="T60">
        <v>57</v>
      </c>
      <c r="U60">
        <v>40</v>
      </c>
      <c r="V60">
        <v>17</v>
      </c>
      <c r="W60">
        <v>0</v>
      </c>
      <c r="X60">
        <v>0</v>
      </c>
      <c r="Y60">
        <v>2618</v>
      </c>
      <c r="Z60">
        <v>2605</v>
      </c>
      <c r="AA60">
        <v>10585</v>
      </c>
    </row>
    <row r="61" spans="1:27" x14ac:dyDescent="0.25">
      <c r="A61" s="23">
        <v>44835</v>
      </c>
      <c r="B61" s="24" t="str">
        <f>VLOOKUP($J61,Sheet2!$A$2:$E$46,5,0)</f>
        <v>WF-5</v>
      </c>
      <c r="J61" t="s">
        <v>59</v>
      </c>
      <c r="L61">
        <v>36</v>
      </c>
      <c r="M61">
        <v>38</v>
      </c>
      <c r="N61">
        <v>37</v>
      </c>
      <c r="O61">
        <v>875</v>
      </c>
      <c r="P61">
        <v>15</v>
      </c>
      <c r="Q61">
        <v>21</v>
      </c>
      <c r="R61">
        <v>0</v>
      </c>
      <c r="S61">
        <v>0</v>
      </c>
      <c r="T61">
        <v>36</v>
      </c>
      <c r="U61">
        <v>15</v>
      </c>
      <c r="V61">
        <v>21</v>
      </c>
      <c r="W61">
        <v>0</v>
      </c>
      <c r="X61">
        <v>0</v>
      </c>
      <c r="Y61">
        <v>595</v>
      </c>
      <c r="Z61">
        <v>587</v>
      </c>
      <c r="AA61">
        <v>2038</v>
      </c>
    </row>
    <row r="62" spans="1:27" x14ac:dyDescent="0.25">
      <c r="A62" s="23">
        <v>44835</v>
      </c>
      <c r="B62" s="24" t="str">
        <f>VLOOKUP($J62,Sheet2!$A$2:$E$46,5,0)</f>
        <v>WF-7</v>
      </c>
      <c r="J62" t="s">
        <v>99</v>
      </c>
      <c r="L62">
        <v>267</v>
      </c>
      <c r="M62">
        <v>288</v>
      </c>
      <c r="N62">
        <v>162</v>
      </c>
      <c r="O62">
        <v>5850</v>
      </c>
      <c r="P62">
        <v>96</v>
      </c>
      <c r="Q62">
        <v>175</v>
      </c>
      <c r="R62">
        <v>0</v>
      </c>
      <c r="S62">
        <v>0</v>
      </c>
      <c r="T62">
        <v>156</v>
      </c>
      <c r="U62">
        <v>56</v>
      </c>
      <c r="V62">
        <v>100</v>
      </c>
      <c r="W62">
        <v>0</v>
      </c>
      <c r="X62">
        <v>0</v>
      </c>
      <c r="Y62">
        <v>4117</v>
      </c>
      <c r="Z62">
        <v>4073</v>
      </c>
      <c r="AA62">
        <v>16569</v>
      </c>
    </row>
    <row r="63" spans="1:27" x14ac:dyDescent="0.25">
      <c r="A63" s="23">
        <v>44835</v>
      </c>
      <c r="B63" s="24" t="str">
        <f>VLOOKUP($J63,Sheet2!$A$2:$E$46,5,0)</f>
        <v>WF-7</v>
      </c>
      <c r="J63" t="s">
        <v>93</v>
      </c>
      <c r="L63">
        <v>74</v>
      </c>
      <c r="M63">
        <v>100</v>
      </c>
      <c r="N63">
        <v>97</v>
      </c>
      <c r="O63">
        <v>2868</v>
      </c>
      <c r="P63">
        <v>24</v>
      </c>
      <c r="Q63">
        <v>50</v>
      </c>
      <c r="R63">
        <v>0</v>
      </c>
      <c r="S63">
        <v>0</v>
      </c>
      <c r="T63">
        <v>72</v>
      </c>
      <c r="U63">
        <v>23</v>
      </c>
      <c r="V63">
        <v>23</v>
      </c>
      <c r="W63">
        <v>0</v>
      </c>
      <c r="X63">
        <v>0</v>
      </c>
      <c r="Y63">
        <v>1976</v>
      </c>
      <c r="Z63">
        <v>1955</v>
      </c>
      <c r="AA63">
        <v>7164</v>
      </c>
    </row>
    <row r="64" spans="1:27" x14ac:dyDescent="0.25">
      <c r="A64" s="23">
        <v>44835</v>
      </c>
      <c r="B64" s="24" t="str">
        <f>VLOOKUP($J64,Sheet2!$A$2:$E$46,5,0)</f>
        <v>WF-2</v>
      </c>
      <c r="J64" t="s">
        <v>35</v>
      </c>
      <c r="L64">
        <v>797</v>
      </c>
      <c r="M64">
        <v>809</v>
      </c>
      <c r="N64">
        <v>199</v>
      </c>
      <c r="O64">
        <v>3122</v>
      </c>
      <c r="P64">
        <v>207</v>
      </c>
      <c r="Q64">
        <v>608</v>
      </c>
      <c r="R64">
        <v>0</v>
      </c>
      <c r="S64">
        <v>0</v>
      </c>
      <c r="T64">
        <v>188</v>
      </c>
      <c r="U64">
        <v>48</v>
      </c>
      <c r="V64">
        <v>140</v>
      </c>
      <c r="W64">
        <v>0</v>
      </c>
      <c r="X64">
        <v>0</v>
      </c>
      <c r="Y64">
        <v>2116</v>
      </c>
      <c r="Z64">
        <v>2081</v>
      </c>
      <c r="AA64">
        <v>6756</v>
      </c>
    </row>
    <row r="65" spans="1:27" x14ac:dyDescent="0.25">
      <c r="A65" s="23">
        <v>44835</v>
      </c>
      <c r="B65" s="24" t="str">
        <f>VLOOKUP($J65,Sheet2!$A$2:$E$46,5,0)</f>
        <v>WF-6</v>
      </c>
      <c r="J65" t="s">
        <v>85</v>
      </c>
      <c r="L65">
        <v>1</v>
      </c>
      <c r="M65">
        <v>1</v>
      </c>
      <c r="N65">
        <v>0</v>
      </c>
      <c r="O65">
        <v>2361</v>
      </c>
      <c r="P65">
        <v>1</v>
      </c>
      <c r="Q65">
        <v>0</v>
      </c>
      <c r="R65">
        <v>0</v>
      </c>
      <c r="S65">
        <v>0</v>
      </c>
      <c r="T65">
        <v>0</v>
      </c>
      <c r="U65">
        <v>0</v>
      </c>
      <c r="V65">
        <v>0</v>
      </c>
      <c r="W65">
        <v>0</v>
      </c>
      <c r="X65">
        <v>0</v>
      </c>
      <c r="Y65">
        <v>1678</v>
      </c>
      <c r="Z65">
        <v>1672</v>
      </c>
      <c r="AA65">
        <v>6286</v>
      </c>
    </row>
    <row r="66" spans="1:27" x14ac:dyDescent="0.25">
      <c r="A66" s="23">
        <v>44835</v>
      </c>
      <c r="B66" s="24" t="str">
        <f>VLOOKUP($J66,Sheet2!$A$2:$E$46,5,0)</f>
        <v>WF-4</v>
      </c>
      <c r="J66" t="s">
        <v>71</v>
      </c>
      <c r="L66">
        <v>193</v>
      </c>
      <c r="M66">
        <v>301</v>
      </c>
      <c r="N66">
        <v>259</v>
      </c>
      <c r="O66">
        <v>2019</v>
      </c>
      <c r="P66">
        <v>154</v>
      </c>
      <c r="Q66">
        <v>43</v>
      </c>
      <c r="R66">
        <v>0</v>
      </c>
      <c r="S66">
        <v>0</v>
      </c>
      <c r="T66">
        <v>151</v>
      </c>
      <c r="U66">
        <v>108</v>
      </c>
      <c r="V66">
        <v>43</v>
      </c>
      <c r="W66">
        <v>0</v>
      </c>
      <c r="X66">
        <v>0</v>
      </c>
      <c r="Y66">
        <v>1373</v>
      </c>
      <c r="Z66">
        <v>1363</v>
      </c>
      <c r="AA66">
        <v>5040</v>
      </c>
    </row>
    <row r="67" spans="1:27" x14ac:dyDescent="0.25">
      <c r="A67" s="23">
        <v>44835</v>
      </c>
      <c r="B67" s="24" t="str">
        <f>VLOOKUP($J67,Sheet2!$A$2:$E$46,5,0)</f>
        <v>WF-6</v>
      </c>
      <c r="J67" t="s">
        <v>77</v>
      </c>
      <c r="L67">
        <v>770</v>
      </c>
      <c r="M67">
        <v>803</v>
      </c>
      <c r="N67">
        <v>391</v>
      </c>
      <c r="O67">
        <v>5878</v>
      </c>
      <c r="P67">
        <v>516</v>
      </c>
      <c r="Q67">
        <v>349</v>
      </c>
      <c r="R67">
        <v>0</v>
      </c>
      <c r="S67">
        <v>0</v>
      </c>
      <c r="T67">
        <v>384</v>
      </c>
      <c r="U67">
        <v>147</v>
      </c>
      <c r="V67">
        <v>236</v>
      </c>
      <c r="W67">
        <v>0</v>
      </c>
      <c r="X67">
        <v>0</v>
      </c>
      <c r="Y67">
        <v>4243</v>
      </c>
      <c r="Z67">
        <v>4189</v>
      </c>
      <c r="AA67">
        <v>15774</v>
      </c>
    </row>
    <row r="68" spans="1:27" x14ac:dyDescent="0.25">
      <c r="A68" s="23">
        <v>44835</v>
      </c>
      <c r="B68" s="24" t="str">
        <f>VLOOKUP($J68,Sheet2!$A$2:$E$46,5,0)</f>
        <v>WF-2</v>
      </c>
      <c r="J68" t="s">
        <v>41</v>
      </c>
      <c r="L68">
        <v>830</v>
      </c>
      <c r="M68">
        <v>933</v>
      </c>
      <c r="N68">
        <v>459</v>
      </c>
      <c r="O68">
        <v>3111</v>
      </c>
      <c r="P68">
        <v>578</v>
      </c>
      <c r="Q68">
        <v>308</v>
      </c>
      <c r="R68">
        <v>0</v>
      </c>
      <c r="S68">
        <v>0</v>
      </c>
      <c r="T68">
        <v>449</v>
      </c>
      <c r="U68">
        <v>239</v>
      </c>
      <c r="V68">
        <v>209</v>
      </c>
      <c r="W68">
        <v>0</v>
      </c>
      <c r="X68">
        <v>0</v>
      </c>
      <c r="Y68">
        <v>2226</v>
      </c>
      <c r="Z68">
        <v>2202</v>
      </c>
      <c r="AA68">
        <v>8195</v>
      </c>
    </row>
    <row r="69" spans="1:27" x14ac:dyDescent="0.25">
      <c r="A69" s="23">
        <v>44835</v>
      </c>
      <c r="B69" s="24" t="str">
        <f>VLOOKUP($J69,Sheet2!$A$2:$E$46,5,0)</f>
        <v>WF-5</v>
      </c>
      <c r="J69" t="s">
        <v>55</v>
      </c>
      <c r="L69">
        <v>7</v>
      </c>
      <c r="M69">
        <v>7</v>
      </c>
      <c r="N69">
        <v>7</v>
      </c>
      <c r="O69">
        <v>2420</v>
      </c>
      <c r="P69">
        <v>5</v>
      </c>
      <c r="Q69">
        <v>2</v>
      </c>
      <c r="R69">
        <v>0</v>
      </c>
      <c r="S69">
        <v>0</v>
      </c>
      <c r="T69">
        <v>7</v>
      </c>
      <c r="U69">
        <v>5</v>
      </c>
      <c r="V69">
        <v>2</v>
      </c>
      <c r="W69">
        <v>0</v>
      </c>
      <c r="X69">
        <v>0</v>
      </c>
      <c r="Y69">
        <v>1685</v>
      </c>
      <c r="Z69">
        <v>1681</v>
      </c>
      <c r="AA69">
        <v>6556</v>
      </c>
    </row>
    <row r="70" spans="1:27" x14ac:dyDescent="0.25">
      <c r="A70" s="23">
        <v>44835</v>
      </c>
      <c r="B70" s="24" t="str">
        <f>VLOOKUP($J70,Sheet2!$A$2:$E$46,5,0)</f>
        <v>WF-5</v>
      </c>
      <c r="J70" t="s">
        <v>65</v>
      </c>
      <c r="L70">
        <v>40</v>
      </c>
      <c r="M70">
        <v>45</v>
      </c>
      <c r="N70">
        <v>16</v>
      </c>
      <c r="O70">
        <v>2464</v>
      </c>
      <c r="P70">
        <v>28</v>
      </c>
      <c r="Q70">
        <v>13</v>
      </c>
      <c r="R70">
        <v>0</v>
      </c>
      <c r="S70">
        <v>0</v>
      </c>
      <c r="T70">
        <v>14</v>
      </c>
      <c r="U70">
        <v>6</v>
      </c>
      <c r="V70">
        <v>8</v>
      </c>
      <c r="W70">
        <v>0</v>
      </c>
      <c r="X70">
        <v>0</v>
      </c>
      <c r="Y70">
        <v>1627</v>
      </c>
      <c r="Z70">
        <v>1622</v>
      </c>
      <c r="AA70">
        <v>5757</v>
      </c>
    </row>
    <row r="71" spans="1:27" x14ac:dyDescent="0.25">
      <c r="A71" s="23">
        <v>44835</v>
      </c>
      <c r="B71" s="24" t="str">
        <f>VLOOKUP($J71,Sheet2!$A$2:$E$46,5,0)</f>
        <v>WF-1</v>
      </c>
      <c r="J71" t="s">
        <v>89</v>
      </c>
      <c r="L71">
        <v>26</v>
      </c>
      <c r="M71">
        <v>52</v>
      </c>
      <c r="N71">
        <v>49</v>
      </c>
      <c r="O71">
        <v>2618</v>
      </c>
      <c r="P71">
        <v>18</v>
      </c>
      <c r="Q71">
        <v>8</v>
      </c>
      <c r="R71">
        <v>0</v>
      </c>
      <c r="S71">
        <v>0</v>
      </c>
      <c r="T71">
        <v>23</v>
      </c>
      <c r="U71">
        <v>16</v>
      </c>
      <c r="V71">
        <v>7</v>
      </c>
      <c r="W71">
        <v>0</v>
      </c>
      <c r="X71">
        <v>0</v>
      </c>
      <c r="Y71">
        <v>1961</v>
      </c>
      <c r="Z71">
        <v>1949</v>
      </c>
      <c r="AA71">
        <v>7237</v>
      </c>
    </row>
    <row r="72" spans="1:27" x14ac:dyDescent="0.25">
      <c r="A72" s="23">
        <v>44835</v>
      </c>
      <c r="B72" s="24" t="str">
        <f>VLOOKUP($J72,Sheet2!$A$2:$E$46,5,0)</f>
        <v>WF-2</v>
      </c>
      <c r="J72" t="s">
        <v>33</v>
      </c>
      <c r="L72">
        <v>1351</v>
      </c>
      <c r="M72">
        <v>1361</v>
      </c>
      <c r="N72">
        <v>401</v>
      </c>
      <c r="O72">
        <v>5620</v>
      </c>
      <c r="P72">
        <v>728</v>
      </c>
      <c r="Q72">
        <v>664</v>
      </c>
      <c r="R72">
        <v>0</v>
      </c>
      <c r="S72">
        <v>0</v>
      </c>
      <c r="T72">
        <v>397</v>
      </c>
      <c r="U72">
        <v>167</v>
      </c>
      <c r="V72">
        <v>230</v>
      </c>
      <c r="W72">
        <v>0</v>
      </c>
      <c r="X72">
        <v>0</v>
      </c>
      <c r="Y72">
        <v>3637</v>
      </c>
      <c r="Z72">
        <v>3583</v>
      </c>
      <c r="AA72">
        <v>13181</v>
      </c>
    </row>
    <row r="73" spans="1:27" x14ac:dyDescent="0.25">
      <c r="A73" s="23">
        <v>44835</v>
      </c>
      <c r="B73" s="24" t="str">
        <f>VLOOKUP($J73,Sheet2!$A$2:$E$46,5,0)</f>
        <v>WF-6</v>
      </c>
      <c r="J73" t="s">
        <v>103</v>
      </c>
      <c r="L73">
        <v>47</v>
      </c>
      <c r="M73">
        <v>119</v>
      </c>
      <c r="N73">
        <v>119</v>
      </c>
      <c r="O73">
        <v>3734</v>
      </c>
      <c r="P73">
        <v>25</v>
      </c>
      <c r="Q73">
        <v>22</v>
      </c>
      <c r="R73">
        <v>0</v>
      </c>
      <c r="S73">
        <v>0</v>
      </c>
      <c r="T73">
        <v>47</v>
      </c>
      <c r="U73">
        <v>25</v>
      </c>
      <c r="V73">
        <v>22</v>
      </c>
      <c r="W73">
        <v>0</v>
      </c>
      <c r="X73">
        <v>0</v>
      </c>
      <c r="Y73">
        <v>2533</v>
      </c>
      <c r="Z73">
        <v>2509</v>
      </c>
      <c r="AA73">
        <v>8946</v>
      </c>
    </row>
    <row r="74" spans="1:27" x14ac:dyDescent="0.25">
      <c r="A74" s="23">
        <v>44835</v>
      </c>
      <c r="B74" s="24" t="str">
        <f>VLOOKUP($J74,Sheet2!$A$2:$E$46,5,0)</f>
        <v>WF-4</v>
      </c>
      <c r="J74" t="s">
        <v>63</v>
      </c>
      <c r="L74">
        <v>376</v>
      </c>
      <c r="M74">
        <v>380</v>
      </c>
      <c r="N74">
        <v>155</v>
      </c>
      <c r="O74">
        <v>3166</v>
      </c>
      <c r="P74">
        <v>307</v>
      </c>
      <c r="Q74">
        <v>80</v>
      </c>
      <c r="R74">
        <v>0</v>
      </c>
      <c r="S74">
        <v>0</v>
      </c>
      <c r="T74">
        <v>153</v>
      </c>
      <c r="U74">
        <v>122</v>
      </c>
      <c r="V74">
        <v>31</v>
      </c>
      <c r="W74">
        <v>0</v>
      </c>
      <c r="X74">
        <v>0</v>
      </c>
      <c r="Y74">
        <v>2252</v>
      </c>
      <c r="Z74">
        <v>2207</v>
      </c>
      <c r="AA74">
        <v>8054</v>
      </c>
    </row>
    <row r="75" spans="1:27" x14ac:dyDescent="0.25">
      <c r="A75" s="23">
        <v>44835</v>
      </c>
      <c r="B75" s="24" t="str">
        <f>VLOOKUP($J75,Sheet2!$A$2:$E$46,5,0)</f>
        <v>WF-1</v>
      </c>
      <c r="J75" t="s">
        <v>39</v>
      </c>
      <c r="L75">
        <v>173</v>
      </c>
      <c r="M75">
        <v>201</v>
      </c>
      <c r="N75">
        <v>167</v>
      </c>
      <c r="O75">
        <v>3422</v>
      </c>
      <c r="P75">
        <v>101</v>
      </c>
      <c r="Q75">
        <v>74</v>
      </c>
      <c r="R75">
        <v>0</v>
      </c>
      <c r="S75">
        <v>0</v>
      </c>
      <c r="T75">
        <v>147</v>
      </c>
      <c r="U75">
        <v>89</v>
      </c>
      <c r="V75">
        <v>58</v>
      </c>
      <c r="W75">
        <v>0</v>
      </c>
      <c r="X75">
        <v>0</v>
      </c>
      <c r="Y75">
        <v>2373</v>
      </c>
      <c r="Z75">
        <v>2330</v>
      </c>
      <c r="AA75">
        <v>8538</v>
      </c>
    </row>
    <row r="76" spans="1:27" x14ac:dyDescent="0.25">
      <c r="A76" s="23">
        <v>44835</v>
      </c>
      <c r="B76" s="24" t="str">
        <f>VLOOKUP($J76,Sheet2!$A$2:$E$46,5,0)</f>
        <v>WF-5</v>
      </c>
      <c r="J76" t="s">
        <v>67</v>
      </c>
      <c r="L76">
        <v>949</v>
      </c>
      <c r="M76">
        <v>1117</v>
      </c>
      <c r="N76">
        <v>683</v>
      </c>
      <c r="O76">
        <v>5370</v>
      </c>
      <c r="P76">
        <v>645</v>
      </c>
      <c r="Q76">
        <v>326</v>
      </c>
      <c r="R76">
        <v>0</v>
      </c>
      <c r="S76">
        <v>0</v>
      </c>
      <c r="T76">
        <v>546</v>
      </c>
      <c r="U76">
        <v>356</v>
      </c>
      <c r="V76">
        <v>190</v>
      </c>
      <c r="W76">
        <v>0</v>
      </c>
      <c r="X76">
        <v>0</v>
      </c>
      <c r="Y76">
        <v>3461</v>
      </c>
      <c r="Z76">
        <v>3387</v>
      </c>
      <c r="AA76">
        <v>14794</v>
      </c>
    </row>
    <row r="77" spans="1:27" x14ac:dyDescent="0.25">
      <c r="A77" s="23">
        <v>44835</v>
      </c>
      <c r="B77" s="24" t="str">
        <f>VLOOKUP($J77,Sheet2!$A$2:$E$46,5,0)</f>
        <v>WF-7</v>
      </c>
      <c r="J77" t="s">
        <v>95</v>
      </c>
      <c r="L77">
        <v>9</v>
      </c>
      <c r="M77">
        <v>10</v>
      </c>
      <c r="N77">
        <v>10</v>
      </c>
      <c r="O77">
        <v>2149</v>
      </c>
      <c r="P77">
        <v>4</v>
      </c>
      <c r="Q77">
        <v>4</v>
      </c>
      <c r="R77">
        <v>0</v>
      </c>
      <c r="S77">
        <v>0</v>
      </c>
      <c r="T77">
        <v>8</v>
      </c>
      <c r="U77">
        <v>4</v>
      </c>
      <c r="V77">
        <v>4</v>
      </c>
      <c r="W77">
        <v>0</v>
      </c>
      <c r="X77">
        <v>0</v>
      </c>
      <c r="Y77">
        <v>1566</v>
      </c>
      <c r="Z77">
        <v>1562</v>
      </c>
      <c r="AA77">
        <v>6382</v>
      </c>
    </row>
    <row r="78" spans="1:27" x14ac:dyDescent="0.25">
      <c r="A78" s="23">
        <v>44835</v>
      </c>
      <c r="B78" s="24" t="str">
        <f>VLOOKUP($J78,Sheet2!$A$2:$E$46,5,0)</f>
        <v>WF-1</v>
      </c>
      <c r="J78" t="s">
        <v>101</v>
      </c>
      <c r="L78">
        <v>534</v>
      </c>
      <c r="M78">
        <v>542</v>
      </c>
      <c r="N78">
        <v>141</v>
      </c>
      <c r="O78">
        <v>1710</v>
      </c>
      <c r="P78">
        <v>498</v>
      </c>
      <c r="Q78">
        <v>102</v>
      </c>
      <c r="R78">
        <v>0</v>
      </c>
      <c r="S78">
        <v>0</v>
      </c>
      <c r="T78">
        <v>134</v>
      </c>
      <c r="U78">
        <v>34</v>
      </c>
      <c r="V78">
        <v>100</v>
      </c>
      <c r="W78">
        <v>0</v>
      </c>
      <c r="X78">
        <v>0</v>
      </c>
      <c r="Y78">
        <v>1311</v>
      </c>
      <c r="Z78">
        <v>1304</v>
      </c>
      <c r="AA78">
        <v>4394</v>
      </c>
    </row>
    <row r="79" spans="1:27" x14ac:dyDescent="0.25">
      <c r="A79" s="23">
        <v>44835</v>
      </c>
      <c r="B79" s="24" t="str">
        <f>VLOOKUP($J79,Sheet2!$A$2:$E$46,5,0)</f>
        <v>WF-4</v>
      </c>
      <c r="J79" t="s">
        <v>53</v>
      </c>
      <c r="L79">
        <v>273</v>
      </c>
      <c r="M79">
        <v>282</v>
      </c>
      <c r="N79">
        <v>155</v>
      </c>
      <c r="O79">
        <v>2293</v>
      </c>
      <c r="P79">
        <v>78</v>
      </c>
      <c r="Q79">
        <v>195</v>
      </c>
      <c r="R79">
        <v>0</v>
      </c>
      <c r="S79">
        <v>0</v>
      </c>
      <c r="T79">
        <v>149</v>
      </c>
      <c r="U79">
        <v>77</v>
      </c>
      <c r="V79">
        <v>72</v>
      </c>
      <c r="W79">
        <v>0</v>
      </c>
      <c r="X79">
        <v>0</v>
      </c>
      <c r="Y79">
        <v>1637</v>
      </c>
      <c r="Z79">
        <v>1617</v>
      </c>
      <c r="AA79">
        <v>6974</v>
      </c>
    </row>
    <row r="80" spans="1:27" x14ac:dyDescent="0.25">
      <c r="A80" s="23">
        <v>44835</v>
      </c>
      <c r="B80" s="24" t="str">
        <f>VLOOKUP($J80,Sheet2!$A$2:$E$46,5,0)</f>
        <v>WF-1</v>
      </c>
      <c r="J80" t="s">
        <v>37</v>
      </c>
      <c r="L80">
        <v>78</v>
      </c>
      <c r="M80">
        <v>109</v>
      </c>
      <c r="N80">
        <v>109</v>
      </c>
      <c r="O80">
        <v>1582</v>
      </c>
      <c r="P80">
        <v>26</v>
      </c>
      <c r="Q80">
        <v>51</v>
      </c>
      <c r="R80">
        <v>0</v>
      </c>
      <c r="S80">
        <v>0</v>
      </c>
      <c r="T80">
        <v>78</v>
      </c>
      <c r="U80">
        <v>26</v>
      </c>
      <c r="V80">
        <v>43</v>
      </c>
      <c r="W80">
        <v>0</v>
      </c>
      <c r="X80">
        <v>0</v>
      </c>
      <c r="Y80">
        <v>963</v>
      </c>
      <c r="Z80">
        <v>961</v>
      </c>
      <c r="AA80">
        <v>3869</v>
      </c>
    </row>
    <row r="81" spans="1:27" x14ac:dyDescent="0.25">
      <c r="A81" s="23">
        <v>44835</v>
      </c>
      <c r="B81" s="24" t="str">
        <f>VLOOKUP($J81,Sheet2!$A$2:$E$46,5,0)</f>
        <v>WF-5</v>
      </c>
      <c r="J81" t="s">
        <v>61</v>
      </c>
      <c r="L81">
        <v>11</v>
      </c>
      <c r="M81">
        <v>11</v>
      </c>
      <c r="N81">
        <v>6</v>
      </c>
      <c r="O81">
        <v>1497</v>
      </c>
      <c r="P81">
        <v>5</v>
      </c>
      <c r="Q81">
        <v>7</v>
      </c>
      <c r="R81">
        <v>0</v>
      </c>
      <c r="S81">
        <v>0</v>
      </c>
      <c r="T81">
        <v>6</v>
      </c>
      <c r="U81">
        <v>2</v>
      </c>
      <c r="V81">
        <v>4</v>
      </c>
      <c r="W81">
        <v>0</v>
      </c>
      <c r="X81">
        <v>0</v>
      </c>
      <c r="Y81">
        <v>969</v>
      </c>
      <c r="Z81">
        <v>956</v>
      </c>
      <c r="AA81">
        <v>3927</v>
      </c>
    </row>
    <row r="82" spans="1:27" x14ac:dyDescent="0.25">
      <c r="A82" s="23">
        <v>44835</v>
      </c>
      <c r="B82" s="24" t="str">
        <f>VLOOKUP($J82,Sheet2!$A$2:$E$46,5,0)</f>
        <v>WF-5</v>
      </c>
      <c r="J82" t="s">
        <v>69</v>
      </c>
      <c r="L82">
        <v>70</v>
      </c>
      <c r="M82">
        <v>72</v>
      </c>
      <c r="N82">
        <v>69</v>
      </c>
      <c r="O82">
        <v>1322</v>
      </c>
      <c r="P82">
        <v>41</v>
      </c>
      <c r="Q82">
        <v>30</v>
      </c>
      <c r="R82">
        <v>0</v>
      </c>
      <c r="S82">
        <v>0</v>
      </c>
      <c r="T82">
        <v>68</v>
      </c>
      <c r="U82">
        <v>38</v>
      </c>
      <c r="V82">
        <v>30</v>
      </c>
      <c r="W82">
        <v>0</v>
      </c>
      <c r="X82">
        <v>0</v>
      </c>
      <c r="Y82">
        <v>890</v>
      </c>
      <c r="Z82">
        <v>876</v>
      </c>
      <c r="AA82">
        <v>3493</v>
      </c>
    </row>
    <row r="83" spans="1:27" x14ac:dyDescent="0.25">
      <c r="A83" s="23">
        <v>44835</v>
      </c>
      <c r="B83" s="24" t="str">
        <f>VLOOKUP($J83,Sheet2!$A$2:$E$46,5,0)</f>
        <v>WF-6</v>
      </c>
      <c r="J83" t="s">
        <v>79</v>
      </c>
      <c r="L83">
        <v>59</v>
      </c>
      <c r="M83">
        <v>66</v>
      </c>
      <c r="N83">
        <v>62</v>
      </c>
      <c r="O83">
        <v>1161</v>
      </c>
      <c r="P83">
        <v>28</v>
      </c>
      <c r="Q83">
        <v>31</v>
      </c>
      <c r="R83">
        <v>0</v>
      </c>
      <c r="S83">
        <v>0</v>
      </c>
      <c r="T83">
        <v>60</v>
      </c>
      <c r="U83">
        <v>29</v>
      </c>
      <c r="V83">
        <v>31</v>
      </c>
      <c r="W83">
        <v>0</v>
      </c>
      <c r="X83">
        <v>0</v>
      </c>
      <c r="Y83">
        <v>717</v>
      </c>
      <c r="Z83">
        <v>701</v>
      </c>
      <c r="AA83">
        <v>2784</v>
      </c>
    </row>
    <row r="84" spans="1:27" x14ac:dyDescent="0.25">
      <c r="A84" s="23">
        <v>44835</v>
      </c>
      <c r="B84" s="24" t="str">
        <f>VLOOKUP($J84,Sheet2!$A$2:$E$46,5,0)</f>
        <v>WF-4</v>
      </c>
      <c r="J84" t="s">
        <v>57</v>
      </c>
      <c r="L84">
        <v>217</v>
      </c>
      <c r="M84">
        <v>219</v>
      </c>
      <c r="N84">
        <v>134</v>
      </c>
      <c r="O84">
        <v>1239</v>
      </c>
      <c r="P84">
        <v>193</v>
      </c>
      <c r="Q84">
        <v>35</v>
      </c>
      <c r="R84">
        <v>0</v>
      </c>
      <c r="S84">
        <v>0</v>
      </c>
      <c r="T84">
        <v>132</v>
      </c>
      <c r="U84">
        <v>97</v>
      </c>
      <c r="V84">
        <v>35</v>
      </c>
      <c r="W84">
        <v>0</v>
      </c>
      <c r="X84">
        <v>0</v>
      </c>
      <c r="Y84">
        <v>838</v>
      </c>
      <c r="Z84">
        <v>829</v>
      </c>
      <c r="AA84">
        <v>3403</v>
      </c>
    </row>
    <row r="85" spans="1:27" x14ac:dyDescent="0.25">
      <c r="A85" s="23">
        <v>44835</v>
      </c>
      <c r="B85" s="24" t="str">
        <f>VLOOKUP($J85,Sheet2!$A$2:$E$46,5,0)</f>
        <v>WF-2</v>
      </c>
      <c r="J85" t="s">
        <v>31</v>
      </c>
      <c r="L85">
        <v>412</v>
      </c>
      <c r="M85">
        <v>430</v>
      </c>
      <c r="N85">
        <v>274</v>
      </c>
      <c r="O85">
        <v>3694</v>
      </c>
      <c r="P85">
        <v>189</v>
      </c>
      <c r="Q85">
        <v>243</v>
      </c>
      <c r="R85">
        <v>0</v>
      </c>
      <c r="S85">
        <v>0</v>
      </c>
      <c r="T85">
        <v>261</v>
      </c>
      <c r="U85">
        <v>98</v>
      </c>
      <c r="V85">
        <v>163</v>
      </c>
      <c r="W85">
        <v>0</v>
      </c>
      <c r="X85">
        <v>0</v>
      </c>
      <c r="Y85">
        <v>2299</v>
      </c>
      <c r="Z85">
        <v>2254</v>
      </c>
      <c r="AA85">
        <v>9488</v>
      </c>
    </row>
    <row r="86" spans="1:27" x14ac:dyDescent="0.25">
      <c r="A86" s="23">
        <v>44835</v>
      </c>
      <c r="B86" s="24" t="str">
        <f>VLOOKUP($J86,Sheet2!$A$2:$E$46,5,0)</f>
        <v>WF-1</v>
      </c>
      <c r="J86" t="s">
        <v>97</v>
      </c>
      <c r="L86">
        <v>53</v>
      </c>
      <c r="M86">
        <v>53</v>
      </c>
      <c r="N86">
        <v>50</v>
      </c>
      <c r="O86">
        <v>2438</v>
      </c>
      <c r="P86">
        <v>20</v>
      </c>
      <c r="Q86">
        <v>33</v>
      </c>
      <c r="R86">
        <v>0</v>
      </c>
      <c r="S86">
        <v>0</v>
      </c>
      <c r="T86">
        <v>50</v>
      </c>
      <c r="U86">
        <v>19</v>
      </c>
      <c r="V86">
        <v>31</v>
      </c>
      <c r="W86">
        <v>0</v>
      </c>
      <c r="X86">
        <v>0</v>
      </c>
      <c r="Y86">
        <v>1617</v>
      </c>
      <c r="Z86">
        <v>1608</v>
      </c>
      <c r="AA86">
        <v>6320</v>
      </c>
    </row>
    <row r="87" spans="1:27" x14ac:dyDescent="0.25">
      <c r="A87" s="23">
        <v>44835</v>
      </c>
      <c r="B87" s="24" t="str">
        <f>VLOOKUP($J87,Sheet2!$A$2:$E$46,5,0)</f>
        <v>Total</v>
      </c>
      <c r="J87" t="s">
        <v>107</v>
      </c>
      <c r="L87">
        <v>10475</v>
      </c>
      <c r="M87">
        <v>11318</v>
      </c>
      <c r="N87">
        <v>5138</v>
      </c>
      <c r="O87">
        <v>103992</v>
      </c>
      <c r="P87">
        <v>5445</v>
      </c>
      <c r="Q87">
        <v>5404</v>
      </c>
      <c r="R87">
        <v>0</v>
      </c>
      <c r="S87">
        <v>0</v>
      </c>
      <c r="T87">
        <v>4582</v>
      </c>
      <c r="U87">
        <v>2214</v>
      </c>
      <c r="V87">
        <v>2297</v>
      </c>
      <c r="W87">
        <v>0</v>
      </c>
      <c r="X87">
        <v>0</v>
      </c>
      <c r="Y87">
        <v>71437</v>
      </c>
      <c r="Z87">
        <v>70626</v>
      </c>
      <c r="AA87">
        <v>270427</v>
      </c>
    </row>
    <row r="88" spans="1:27" x14ac:dyDescent="0.25">
      <c r="A88" s="23">
        <v>44835</v>
      </c>
      <c r="B88" s="24" t="str">
        <f>VLOOKUP($J88,Sheet2!$A$2:$E$46,5,0)</f>
        <v>WF-7</v>
      </c>
      <c r="J88" t="s">
        <v>118</v>
      </c>
      <c r="L88">
        <v>6</v>
      </c>
      <c r="M88">
        <v>6</v>
      </c>
      <c r="N88">
        <v>9</v>
      </c>
      <c r="O88">
        <v>1436</v>
      </c>
      <c r="P88">
        <v>1</v>
      </c>
      <c r="Q88">
        <v>5</v>
      </c>
      <c r="R88">
        <v>0</v>
      </c>
      <c r="S88" s="178">
        <v>0</v>
      </c>
      <c r="T88" s="178">
        <v>9</v>
      </c>
      <c r="U88">
        <v>1</v>
      </c>
      <c r="V88">
        <v>7</v>
      </c>
      <c r="W88">
        <v>0</v>
      </c>
      <c r="X88" s="178">
        <v>0</v>
      </c>
      <c r="Y88" s="178">
        <v>1428</v>
      </c>
      <c r="Z88">
        <v>1427</v>
      </c>
    </row>
    <row r="89" spans="1:27" x14ac:dyDescent="0.25">
      <c r="A89" s="23">
        <v>44835</v>
      </c>
      <c r="B89" s="24" t="str">
        <f>VLOOKUP($J89,Sheet2!$A$2:$E$46,5,0)</f>
        <v>WF-7</v>
      </c>
      <c r="J89" t="s">
        <v>116</v>
      </c>
      <c r="L89">
        <v>30</v>
      </c>
      <c r="M89">
        <v>31</v>
      </c>
      <c r="N89">
        <v>54</v>
      </c>
      <c r="O89">
        <v>2566</v>
      </c>
      <c r="P89">
        <v>19</v>
      </c>
      <c r="Q89">
        <v>11</v>
      </c>
      <c r="R89">
        <v>0</v>
      </c>
      <c r="S89" s="178">
        <v>0</v>
      </c>
      <c r="T89" s="178">
        <v>53</v>
      </c>
      <c r="U89">
        <v>36</v>
      </c>
      <c r="V89">
        <v>9</v>
      </c>
      <c r="W89">
        <v>0</v>
      </c>
      <c r="X89" s="178">
        <v>0</v>
      </c>
      <c r="Y89" s="178">
        <v>2560</v>
      </c>
      <c r="Z89">
        <v>2534</v>
      </c>
    </row>
    <row r="90" spans="1:27" x14ac:dyDescent="0.25">
      <c r="A90" s="23">
        <v>44835</v>
      </c>
      <c r="B90" s="24" t="str">
        <f>VLOOKUP($J90,Sheet2!$A$2:$E$46,5,0)</f>
        <v>WF-7</v>
      </c>
      <c r="J90" t="s">
        <v>120</v>
      </c>
      <c r="L90">
        <v>128</v>
      </c>
      <c r="M90">
        <v>129</v>
      </c>
      <c r="N90">
        <v>103</v>
      </c>
      <c r="O90">
        <v>1962</v>
      </c>
      <c r="P90">
        <v>37</v>
      </c>
      <c r="Q90">
        <v>91</v>
      </c>
      <c r="R90">
        <v>0</v>
      </c>
      <c r="S90" s="178">
        <v>0</v>
      </c>
      <c r="T90" s="178">
        <v>103</v>
      </c>
      <c r="U90">
        <v>38</v>
      </c>
      <c r="V90">
        <v>34</v>
      </c>
      <c r="W90">
        <v>0</v>
      </c>
      <c r="X90" s="178">
        <v>0</v>
      </c>
      <c r="Y90" s="178">
        <v>1950</v>
      </c>
      <c r="Z90">
        <v>1927</v>
      </c>
    </row>
    <row r="91" spans="1:27" x14ac:dyDescent="0.25">
      <c r="A91" s="23">
        <v>44835</v>
      </c>
      <c r="B91" s="24" t="str">
        <f>VLOOKUP($J91,Sheet2!$A$2:$E$46,5,0)</f>
        <v>WF-1</v>
      </c>
      <c r="J91" t="s">
        <v>113</v>
      </c>
      <c r="L91">
        <v>11</v>
      </c>
      <c r="M91">
        <v>11</v>
      </c>
      <c r="N91">
        <v>15</v>
      </c>
      <c r="O91">
        <v>1563</v>
      </c>
      <c r="P91">
        <v>10</v>
      </c>
      <c r="Q91">
        <v>1</v>
      </c>
      <c r="R91">
        <v>0</v>
      </c>
      <c r="S91" s="178">
        <v>0</v>
      </c>
      <c r="T91" s="178">
        <v>15</v>
      </c>
      <c r="U91">
        <v>14</v>
      </c>
      <c r="V91">
        <v>1</v>
      </c>
      <c r="W91">
        <v>0</v>
      </c>
      <c r="X91" s="178">
        <v>0</v>
      </c>
      <c r="Y91" s="178">
        <v>1552</v>
      </c>
      <c r="Z91">
        <v>1534</v>
      </c>
    </row>
    <row r="92" spans="1:27" x14ac:dyDescent="0.25">
      <c r="A92" s="23">
        <v>44835</v>
      </c>
      <c r="B92" s="24" t="str">
        <f>VLOOKUP($J92,Sheet2!$A$2:$E$46,5,0)</f>
        <v>WF-1</v>
      </c>
      <c r="J92" t="s">
        <v>110</v>
      </c>
      <c r="L92">
        <v>142</v>
      </c>
      <c r="M92">
        <v>144</v>
      </c>
      <c r="N92">
        <v>114</v>
      </c>
      <c r="O92">
        <v>1466</v>
      </c>
      <c r="P92">
        <v>42</v>
      </c>
      <c r="Q92">
        <v>95</v>
      </c>
      <c r="R92">
        <v>0</v>
      </c>
      <c r="S92" s="178">
        <v>0</v>
      </c>
      <c r="T92" s="178">
        <v>112</v>
      </c>
      <c r="U92">
        <v>42</v>
      </c>
      <c r="V92">
        <v>47</v>
      </c>
      <c r="W92">
        <v>0</v>
      </c>
      <c r="X92" s="178">
        <v>0</v>
      </c>
      <c r="Y92" s="178">
        <v>1462</v>
      </c>
      <c r="Z92">
        <v>1439</v>
      </c>
    </row>
    <row r="93" spans="1:27" x14ac:dyDescent="0.25">
      <c r="A93" s="23">
        <v>44835</v>
      </c>
      <c r="B93" s="24" t="str">
        <f>VLOOKUP($J93,Sheet2!$A$2:$E$46,5,0)</f>
        <v>WF-1</v>
      </c>
      <c r="J93" t="s">
        <v>106</v>
      </c>
      <c r="L93">
        <v>14</v>
      </c>
      <c r="M93">
        <v>196</v>
      </c>
      <c r="N93">
        <v>114</v>
      </c>
      <c r="O93">
        <v>6840</v>
      </c>
      <c r="P93">
        <v>5</v>
      </c>
      <c r="Q93">
        <v>9</v>
      </c>
      <c r="T93">
        <v>99</v>
      </c>
      <c r="U93">
        <v>12</v>
      </c>
      <c r="V93">
        <v>81</v>
      </c>
      <c r="Y93">
        <v>5050</v>
      </c>
      <c r="Z93">
        <v>4569</v>
      </c>
      <c r="AA93">
        <v>15936</v>
      </c>
    </row>
    <row r="94" spans="1:27" x14ac:dyDescent="0.25">
      <c r="A94" s="23">
        <v>44835</v>
      </c>
      <c r="B94" s="24" t="str">
        <f>VLOOKUP($J94,Sheet2!$A$2:$E$46,5,0)</f>
        <v>WF-4</v>
      </c>
      <c r="J94" t="s">
        <v>75</v>
      </c>
      <c r="L94">
        <v>9</v>
      </c>
      <c r="M94">
        <v>58</v>
      </c>
      <c r="N94">
        <v>83</v>
      </c>
      <c r="O94">
        <v>4149</v>
      </c>
      <c r="P94">
        <v>4</v>
      </c>
      <c r="Q94">
        <v>5</v>
      </c>
      <c r="T94">
        <v>74</v>
      </c>
      <c r="U94">
        <v>54</v>
      </c>
      <c r="V94">
        <v>20</v>
      </c>
      <c r="Y94">
        <v>2850</v>
      </c>
      <c r="Z94">
        <v>2626</v>
      </c>
      <c r="AA94">
        <v>9937</v>
      </c>
    </row>
    <row r="95" spans="1:27" x14ac:dyDescent="0.25">
      <c r="A95" s="23">
        <v>44835</v>
      </c>
      <c r="B95" s="24" t="str">
        <f>VLOOKUP($J95,Sheet2!$A$2:$E$46,5,0)</f>
        <v>WF-1</v>
      </c>
      <c r="J95" t="s">
        <v>105</v>
      </c>
      <c r="L95">
        <v>6</v>
      </c>
      <c r="M95">
        <v>133</v>
      </c>
      <c r="N95">
        <v>148</v>
      </c>
      <c r="O95">
        <v>2886</v>
      </c>
      <c r="P95">
        <v>1</v>
      </c>
      <c r="Q95">
        <v>4</v>
      </c>
      <c r="T95">
        <v>113</v>
      </c>
      <c r="U95">
        <v>67</v>
      </c>
      <c r="V95">
        <v>41</v>
      </c>
      <c r="Y95">
        <v>2141</v>
      </c>
      <c r="Z95">
        <v>1989</v>
      </c>
      <c r="AA95">
        <v>7118</v>
      </c>
    </row>
    <row r="96" spans="1:27" x14ac:dyDescent="0.25">
      <c r="A96" s="23">
        <v>44835</v>
      </c>
      <c r="B96" s="24" t="str">
        <f>VLOOKUP($J96,Sheet2!$A$2:$E$46,5,0)</f>
        <v>WF-3</v>
      </c>
      <c r="J96" t="s">
        <v>73</v>
      </c>
      <c r="L96">
        <v>58</v>
      </c>
      <c r="M96">
        <v>282</v>
      </c>
      <c r="N96">
        <v>219</v>
      </c>
      <c r="O96">
        <v>5562</v>
      </c>
      <c r="P96">
        <v>22</v>
      </c>
      <c r="Q96">
        <v>37</v>
      </c>
      <c r="T96">
        <v>197</v>
      </c>
      <c r="U96">
        <v>83</v>
      </c>
      <c r="V96">
        <v>111</v>
      </c>
      <c r="Y96">
        <v>4026</v>
      </c>
      <c r="Z96">
        <v>3656</v>
      </c>
      <c r="AA96">
        <v>15034</v>
      </c>
    </row>
    <row r="97" spans="1:27" x14ac:dyDescent="0.25">
      <c r="A97" s="23">
        <v>44835</v>
      </c>
      <c r="B97" s="24" t="str">
        <f>VLOOKUP($J97,Sheet2!$A$2:$E$46,5,0)</f>
        <v>WF-1</v>
      </c>
      <c r="J97" t="s">
        <v>43</v>
      </c>
      <c r="L97" s="190"/>
      <c r="M97" s="190">
        <v>7</v>
      </c>
      <c r="N97" s="190">
        <v>4</v>
      </c>
      <c r="O97" s="190">
        <v>2089</v>
      </c>
      <c r="P97">
        <v>0</v>
      </c>
      <c r="Q97" s="190"/>
      <c r="R97" s="191"/>
      <c r="S97" s="191"/>
      <c r="T97" s="190">
        <v>3</v>
      </c>
      <c r="U97">
        <v>2</v>
      </c>
      <c r="V97" s="190">
        <v>1</v>
      </c>
      <c r="W97" s="191"/>
      <c r="X97" s="191"/>
      <c r="Y97" s="190">
        <v>1423</v>
      </c>
      <c r="Z97" s="190">
        <v>1338</v>
      </c>
      <c r="AA97">
        <v>5046</v>
      </c>
    </row>
    <row r="98" spans="1:27" x14ac:dyDescent="0.25">
      <c r="A98" s="23">
        <v>44927</v>
      </c>
      <c r="B98" s="24" t="e">
        <f>VLOOKUP($J98,Sheet2!$A$2:$E$46,5,0)</f>
        <v>#N/A</v>
      </c>
      <c r="C98" t="s">
        <v>185</v>
      </c>
      <c r="E98" t="s">
        <v>186</v>
      </c>
      <c r="G98" t="s">
        <v>187</v>
      </c>
      <c r="H98">
        <v>594428</v>
      </c>
      <c r="K98" t="s">
        <v>188</v>
      </c>
      <c r="L98" t="s">
        <v>189</v>
      </c>
      <c r="M98" t="s">
        <v>271</v>
      </c>
      <c r="N98" t="s">
        <v>272</v>
      </c>
      <c r="O98" t="s">
        <v>192</v>
      </c>
      <c r="P98" t="s">
        <v>193</v>
      </c>
      <c r="Q98" t="s">
        <v>194</v>
      </c>
      <c r="R98" t="s">
        <v>195</v>
      </c>
      <c r="S98" t="s">
        <v>196</v>
      </c>
      <c r="T98" t="s">
        <v>197</v>
      </c>
      <c r="U98" t="s">
        <v>198</v>
      </c>
      <c r="V98" t="s">
        <v>199</v>
      </c>
      <c r="W98" t="s">
        <v>200</v>
      </c>
      <c r="X98" t="s">
        <v>201</v>
      </c>
      <c r="Y98" t="s">
        <v>202</v>
      </c>
      <c r="Z98" t="s">
        <v>203</v>
      </c>
      <c r="AA98" t="s">
        <v>204</v>
      </c>
    </row>
    <row r="99" spans="1:27" x14ac:dyDescent="0.25">
      <c r="A99" s="23">
        <v>44927</v>
      </c>
      <c r="B99" s="24" t="e">
        <f>VLOOKUP($J99,Sheet2!$A$2:$E$46,5,0)</f>
        <v>#N/A</v>
      </c>
      <c r="E99" s="8">
        <v>44942.440972222219</v>
      </c>
      <c r="G99" t="s">
        <v>205</v>
      </c>
      <c r="H99">
        <v>307334</v>
      </c>
      <c r="J99" t="s">
        <v>29</v>
      </c>
      <c r="R99"/>
      <c r="S99"/>
      <c r="W99"/>
      <c r="X99"/>
    </row>
    <row r="100" spans="1:27" x14ac:dyDescent="0.25">
      <c r="A100" s="23">
        <v>44927</v>
      </c>
      <c r="B100" s="24" t="str">
        <f>VLOOKUP($J100,Sheet2!$A$2:$E$46,5,0)</f>
        <v>WF-6</v>
      </c>
      <c r="E100" t="s">
        <v>206</v>
      </c>
      <c r="G100" t="s">
        <v>207</v>
      </c>
      <c r="H100">
        <v>287094</v>
      </c>
      <c r="J100" t="s">
        <v>81</v>
      </c>
      <c r="L100">
        <v>204</v>
      </c>
      <c r="M100">
        <v>308</v>
      </c>
      <c r="N100">
        <v>188</v>
      </c>
      <c r="O100">
        <v>3350</v>
      </c>
      <c r="P100">
        <v>111</v>
      </c>
      <c r="Q100">
        <v>91</v>
      </c>
      <c r="R100">
        <v>5</v>
      </c>
      <c r="S100">
        <v>0</v>
      </c>
      <c r="T100">
        <v>162</v>
      </c>
      <c r="U100">
        <v>84</v>
      </c>
      <c r="V100">
        <v>77</v>
      </c>
      <c r="W100">
        <v>2</v>
      </c>
      <c r="X100">
        <v>0</v>
      </c>
      <c r="Y100">
        <v>2216</v>
      </c>
      <c r="Z100">
        <v>2200</v>
      </c>
      <c r="AA100">
        <v>7980</v>
      </c>
    </row>
    <row r="101" spans="1:27" x14ac:dyDescent="0.25">
      <c r="A101" s="23">
        <v>44927</v>
      </c>
      <c r="B101" s="24" t="str">
        <f>VLOOKUP($J101,Sheet2!$A$2:$E$46,5,0)</f>
        <v>WF-1</v>
      </c>
      <c r="E101" s="7">
        <v>44927</v>
      </c>
      <c r="J101" t="s">
        <v>83</v>
      </c>
      <c r="L101">
        <v>1363</v>
      </c>
      <c r="M101">
        <v>1393</v>
      </c>
      <c r="N101">
        <v>284</v>
      </c>
      <c r="O101">
        <v>3418</v>
      </c>
      <c r="P101">
        <v>320</v>
      </c>
      <c r="Q101">
        <v>480</v>
      </c>
      <c r="R101">
        <v>611</v>
      </c>
      <c r="S101">
        <v>0</v>
      </c>
      <c r="T101">
        <v>265</v>
      </c>
      <c r="U101">
        <v>52</v>
      </c>
      <c r="V101">
        <v>57</v>
      </c>
      <c r="W101">
        <v>148</v>
      </c>
      <c r="X101">
        <v>0</v>
      </c>
      <c r="Y101">
        <v>2508</v>
      </c>
      <c r="Z101">
        <v>2489</v>
      </c>
      <c r="AA101">
        <v>9517</v>
      </c>
    </row>
    <row r="102" spans="1:27" x14ac:dyDescent="0.25">
      <c r="A102" s="23">
        <v>44927</v>
      </c>
      <c r="B102" s="24" t="str">
        <f>VLOOKUP($J102,Sheet2!$A$2:$E$46,5,0)</f>
        <v>WF-7</v>
      </c>
      <c r="J102" t="s">
        <v>87</v>
      </c>
      <c r="L102">
        <v>48</v>
      </c>
      <c r="M102">
        <v>65</v>
      </c>
      <c r="N102">
        <v>59</v>
      </c>
      <c r="O102">
        <v>2809</v>
      </c>
      <c r="P102">
        <v>4</v>
      </c>
      <c r="Q102">
        <v>9</v>
      </c>
      <c r="R102">
        <v>31</v>
      </c>
      <c r="S102">
        <v>0</v>
      </c>
      <c r="T102">
        <v>42</v>
      </c>
      <c r="U102">
        <v>1</v>
      </c>
      <c r="V102">
        <v>8</v>
      </c>
      <c r="W102">
        <v>17</v>
      </c>
      <c r="X102">
        <v>0</v>
      </c>
      <c r="Y102">
        <v>1891</v>
      </c>
      <c r="Z102">
        <v>1882</v>
      </c>
      <c r="AA102">
        <v>7008</v>
      </c>
    </row>
    <row r="103" spans="1:27" x14ac:dyDescent="0.25">
      <c r="A103" s="23">
        <v>44927</v>
      </c>
      <c r="B103" s="24" t="str">
        <f>VLOOKUP($J103,Sheet2!$A$2:$E$46,5,0)</f>
        <v>WF-3</v>
      </c>
      <c r="J103" t="s">
        <v>45</v>
      </c>
      <c r="L103">
        <v>38</v>
      </c>
      <c r="M103">
        <v>65</v>
      </c>
      <c r="N103">
        <v>48</v>
      </c>
      <c r="O103">
        <v>3961</v>
      </c>
      <c r="P103">
        <v>15</v>
      </c>
      <c r="Q103">
        <v>16</v>
      </c>
      <c r="R103">
        <v>7</v>
      </c>
      <c r="S103">
        <v>0</v>
      </c>
      <c r="T103">
        <v>27</v>
      </c>
      <c r="U103">
        <v>9</v>
      </c>
      <c r="V103">
        <v>14</v>
      </c>
      <c r="W103">
        <v>4</v>
      </c>
      <c r="X103">
        <v>0</v>
      </c>
      <c r="Y103">
        <v>2603</v>
      </c>
      <c r="Z103">
        <v>2574</v>
      </c>
      <c r="AA103">
        <v>9813</v>
      </c>
    </row>
    <row r="104" spans="1:27" x14ac:dyDescent="0.25">
      <c r="A104" s="23">
        <v>44927</v>
      </c>
      <c r="B104" s="24" t="str">
        <f>VLOOKUP($J104,Sheet2!$A$2:$E$46,5,0)</f>
        <v>WF-7</v>
      </c>
      <c r="J104" t="s">
        <v>91</v>
      </c>
      <c r="L104">
        <v>72</v>
      </c>
      <c r="M104">
        <v>82</v>
      </c>
      <c r="N104">
        <v>79</v>
      </c>
      <c r="O104">
        <v>2927</v>
      </c>
      <c r="P104">
        <v>24</v>
      </c>
      <c r="Q104">
        <v>12</v>
      </c>
      <c r="R104">
        <v>35</v>
      </c>
      <c r="S104">
        <v>0</v>
      </c>
      <c r="T104">
        <v>70</v>
      </c>
      <c r="U104">
        <v>2</v>
      </c>
      <c r="V104">
        <v>0</v>
      </c>
      <c r="W104">
        <v>1</v>
      </c>
      <c r="X104">
        <v>0</v>
      </c>
      <c r="Y104">
        <v>1949</v>
      </c>
      <c r="Z104">
        <v>1928</v>
      </c>
      <c r="AA104">
        <v>8330</v>
      </c>
    </row>
    <row r="105" spans="1:27" x14ac:dyDescent="0.25">
      <c r="A105" s="23">
        <v>44927</v>
      </c>
      <c r="B105" s="24" t="str">
        <f>VLOOKUP($J105,Sheet2!$A$2:$E$46,5,0)</f>
        <v>WF-4</v>
      </c>
      <c r="J105" t="s">
        <v>47</v>
      </c>
      <c r="L105">
        <v>1828</v>
      </c>
      <c r="M105">
        <v>1837</v>
      </c>
      <c r="N105">
        <v>698</v>
      </c>
      <c r="O105">
        <v>6144</v>
      </c>
      <c r="P105">
        <v>385</v>
      </c>
      <c r="Q105">
        <v>1248</v>
      </c>
      <c r="R105">
        <v>385</v>
      </c>
      <c r="S105">
        <v>0</v>
      </c>
      <c r="T105">
        <v>691</v>
      </c>
      <c r="U105">
        <v>168</v>
      </c>
      <c r="V105">
        <v>237</v>
      </c>
      <c r="W105">
        <v>284</v>
      </c>
      <c r="X105">
        <v>0</v>
      </c>
      <c r="Y105">
        <v>4405</v>
      </c>
      <c r="Z105">
        <v>4336</v>
      </c>
      <c r="AA105">
        <v>14413</v>
      </c>
    </row>
    <row r="106" spans="1:27" x14ac:dyDescent="0.25">
      <c r="A106" s="23">
        <v>44927</v>
      </c>
      <c r="B106" s="24" t="str">
        <f>VLOOKUP($J106,Sheet2!$A$2:$E$46,5,0)</f>
        <v>WF-3</v>
      </c>
      <c r="J106" t="s">
        <v>49</v>
      </c>
      <c r="L106">
        <v>176</v>
      </c>
      <c r="M106">
        <v>197</v>
      </c>
      <c r="N106">
        <v>124</v>
      </c>
      <c r="O106">
        <v>4086</v>
      </c>
      <c r="P106">
        <v>15</v>
      </c>
      <c r="Q106">
        <v>64</v>
      </c>
      <c r="R106">
        <v>96</v>
      </c>
      <c r="S106">
        <v>0</v>
      </c>
      <c r="T106">
        <v>113</v>
      </c>
      <c r="U106">
        <v>14</v>
      </c>
      <c r="V106">
        <v>61</v>
      </c>
      <c r="W106">
        <v>36</v>
      </c>
      <c r="X106">
        <v>0</v>
      </c>
      <c r="Y106">
        <v>2654</v>
      </c>
      <c r="Z106">
        <v>2607</v>
      </c>
      <c r="AA106">
        <v>11169</v>
      </c>
    </row>
    <row r="107" spans="1:27" x14ac:dyDescent="0.25">
      <c r="A107" s="23">
        <v>44927</v>
      </c>
      <c r="B107" s="24" t="str">
        <f>VLOOKUP($J107,Sheet2!$A$2:$E$46,5,0)</f>
        <v>WF-4</v>
      </c>
      <c r="J107" t="s">
        <v>51</v>
      </c>
      <c r="L107">
        <v>85</v>
      </c>
      <c r="M107">
        <v>93</v>
      </c>
      <c r="N107">
        <v>72</v>
      </c>
      <c r="O107">
        <v>3461</v>
      </c>
      <c r="P107">
        <v>48</v>
      </c>
      <c r="Q107">
        <v>22</v>
      </c>
      <c r="R107">
        <v>15</v>
      </c>
      <c r="S107">
        <v>0</v>
      </c>
      <c r="T107">
        <v>71</v>
      </c>
      <c r="U107">
        <v>41</v>
      </c>
      <c r="V107">
        <v>19</v>
      </c>
      <c r="W107">
        <v>11</v>
      </c>
      <c r="X107">
        <v>0</v>
      </c>
      <c r="Y107">
        <v>2616</v>
      </c>
      <c r="Z107">
        <v>2602</v>
      </c>
      <c r="AA107">
        <v>10475</v>
      </c>
    </row>
    <row r="108" spans="1:27" x14ac:dyDescent="0.25">
      <c r="A108" s="23">
        <v>44927</v>
      </c>
      <c r="B108" s="24" t="str">
        <f>VLOOKUP($J108,Sheet2!$A$2:$E$46,5,0)</f>
        <v>WF-5</v>
      </c>
      <c r="J108" t="s">
        <v>59</v>
      </c>
      <c r="L108">
        <v>245</v>
      </c>
      <c r="M108">
        <v>248</v>
      </c>
      <c r="N108">
        <v>65</v>
      </c>
      <c r="O108">
        <v>882</v>
      </c>
      <c r="P108">
        <v>17</v>
      </c>
      <c r="Q108">
        <v>22</v>
      </c>
      <c r="R108">
        <v>207</v>
      </c>
      <c r="S108">
        <v>0</v>
      </c>
      <c r="T108">
        <v>63</v>
      </c>
      <c r="U108">
        <v>16</v>
      </c>
      <c r="V108">
        <v>22</v>
      </c>
      <c r="W108">
        <v>25</v>
      </c>
      <c r="X108">
        <v>0</v>
      </c>
      <c r="Y108">
        <v>598</v>
      </c>
      <c r="Z108">
        <v>590</v>
      </c>
      <c r="AA108">
        <v>2041</v>
      </c>
    </row>
    <row r="109" spans="1:27" x14ac:dyDescent="0.25">
      <c r="A109" s="23">
        <v>44927</v>
      </c>
      <c r="B109" s="24" t="str">
        <f>VLOOKUP($J109,Sheet2!$A$2:$E$46,5,0)</f>
        <v>WF-7</v>
      </c>
      <c r="J109" t="s">
        <v>99</v>
      </c>
      <c r="L109">
        <v>1359</v>
      </c>
      <c r="M109">
        <v>1394</v>
      </c>
      <c r="N109">
        <v>288</v>
      </c>
      <c r="O109">
        <v>5822</v>
      </c>
      <c r="P109">
        <v>98</v>
      </c>
      <c r="Q109">
        <v>177</v>
      </c>
      <c r="R109">
        <v>1097</v>
      </c>
      <c r="S109">
        <v>0</v>
      </c>
      <c r="T109">
        <v>278</v>
      </c>
      <c r="U109">
        <v>56</v>
      </c>
      <c r="V109">
        <v>101</v>
      </c>
      <c r="W109">
        <v>121</v>
      </c>
      <c r="X109">
        <v>0</v>
      </c>
      <c r="Y109">
        <v>4082</v>
      </c>
      <c r="Z109">
        <v>4042</v>
      </c>
      <c r="AA109">
        <v>16224</v>
      </c>
    </row>
    <row r="110" spans="1:27" x14ac:dyDescent="0.25">
      <c r="A110" s="23">
        <v>44927</v>
      </c>
      <c r="B110" s="24" t="str">
        <f>VLOOKUP($J110,Sheet2!$A$2:$E$46,5,0)</f>
        <v>WF-7</v>
      </c>
      <c r="J110" t="s">
        <v>93</v>
      </c>
      <c r="L110">
        <v>106</v>
      </c>
      <c r="M110">
        <v>143</v>
      </c>
      <c r="N110">
        <v>137</v>
      </c>
      <c r="O110">
        <v>2886</v>
      </c>
      <c r="P110">
        <v>24</v>
      </c>
      <c r="Q110">
        <v>50</v>
      </c>
      <c r="R110">
        <v>32</v>
      </c>
      <c r="S110">
        <v>0</v>
      </c>
      <c r="T110">
        <v>102</v>
      </c>
      <c r="U110">
        <v>23</v>
      </c>
      <c r="V110">
        <v>23</v>
      </c>
      <c r="W110">
        <v>16</v>
      </c>
      <c r="X110">
        <v>0</v>
      </c>
      <c r="Y110">
        <v>1984</v>
      </c>
      <c r="Z110">
        <v>1965</v>
      </c>
      <c r="AA110">
        <v>7173</v>
      </c>
    </row>
    <row r="111" spans="1:27" x14ac:dyDescent="0.25">
      <c r="A111" s="23">
        <v>44927</v>
      </c>
      <c r="B111" s="24" t="str">
        <f>VLOOKUP($J111,Sheet2!$A$2:$E$46,5,0)</f>
        <v>WF-2</v>
      </c>
      <c r="J111" t="s">
        <v>35</v>
      </c>
      <c r="L111">
        <v>1227</v>
      </c>
      <c r="M111">
        <v>1246</v>
      </c>
      <c r="N111">
        <v>401</v>
      </c>
      <c r="O111">
        <v>3106</v>
      </c>
      <c r="P111">
        <v>207</v>
      </c>
      <c r="Q111">
        <v>608</v>
      </c>
      <c r="R111">
        <v>490</v>
      </c>
      <c r="S111">
        <v>0</v>
      </c>
      <c r="T111">
        <v>382</v>
      </c>
      <c r="U111">
        <v>48</v>
      </c>
      <c r="V111">
        <v>140</v>
      </c>
      <c r="W111">
        <v>194</v>
      </c>
      <c r="X111">
        <v>0</v>
      </c>
      <c r="Y111">
        <v>2084</v>
      </c>
      <c r="Z111">
        <v>2045</v>
      </c>
      <c r="AA111">
        <v>6761</v>
      </c>
    </row>
    <row r="112" spans="1:27" x14ac:dyDescent="0.25">
      <c r="A112" s="23">
        <v>44927</v>
      </c>
      <c r="B112" s="24" t="str">
        <f>VLOOKUP($J112,Sheet2!$A$2:$E$46,5,0)</f>
        <v>WF-6</v>
      </c>
      <c r="J112" t="s">
        <v>85</v>
      </c>
      <c r="L112">
        <v>6</v>
      </c>
      <c r="M112">
        <v>8</v>
      </c>
      <c r="N112">
        <v>3</v>
      </c>
      <c r="O112">
        <v>2369</v>
      </c>
      <c r="P112">
        <v>2</v>
      </c>
      <c r="Q112">
        <v>3</v>
      </c>
      <c r="R112">
        <v>2</v>
      </c>
      <c r="S112">
        <v>0</v>
      </c>
      <c r="T112">
        <v>3</v>
      </c>
      <c r="U112">
        <v>1</v>
      </c>
      <c r="V112">
        <v>1</v>
      </c>
      <c r="W112">
        <v>1</v>
      </c>
      <c r="X112">
        <v>0</v>
      </c>
      <c r="Y112">
        <v>1693</v>
      </c>
      <c r="Z112">
        <v>1687</v>
      </c>
      <c r="AA112">
        <v>6307</v>
      </c>
    </row>
    <row r="113" spans="1:27" x14ac:dyDescent="0.25">
      <c r="A113" s="23">
        <v>44927</v>
      </c>
      <c r="B113" s="24" t="str">
        <f>VLOOKUP($J113,Sheet2!$A$2:$E$46,5,0)</f>
        <v>WF-4</v>
      </c>
      <c r="J113" t="s">
        <v>71</v>
      </c>
      <c r="L113">
        <v>385</v>
      </c>
      <c r="M113">
        <v>601</v>
      </c>
      <c r="N113">
        <v>451</v>
      </c>
      <c r="O113">
        <v>2019</v>
      </c>
      <c r="P113">
        <v>154</v>
      </c>
      <c r="Q113">
        <v>44</v>
      </c>
      <c r="R113">
        <v>196</v>
      </c>
      <c r="S113">
        <v>0</v>
      </c>
      <c r="T113">
        <v>271</v>
      </c>
      <c r="U113">
        <v>108</v>
      </c>
      <c r="V113">
        <v>43</v>
      </c>
      <c r="W113">
        <v>120</v>
      </c>
      <c r="X113">
        <v>0</v>
      </c>
      <c r="Y113">
        <v>1375</v>
      </c>
      <c r="Z113">
        <v>1364</v>
      </c>
      <c r="AA113">
        <v>5069</v>
      </c>
    </row>
    <row r="114" spans="1:27" x14ac:dyDescent="0.25">
      <c r="A114" s="23">
        <v>44927</v>
      </c>
      <c r="B114" s="24" t="str">
        <f>VLOOKUP($J114,Sheet2!$A$2:$E$46,5,0)</f>
        <v>WF-6</v>
      </c>
      <c r="J114" t="s">
        <v>77</v>
      </c>
      <c r="L114">
        <v>1094</v>
      </c>
      <c r="M114">
        <v>1144</v>
      </c>
      <c r="N114">
        <v>634</v>
      </c>
      <c r="O114">
        <v>5933</v>
      </c>
      <c r="P114">
        <v>517</v>
      </c>
      <c r="Q114">
        <v>351</v>
      </c>
      <c r="R114">
        <v>377</v>
      </c>
      <c r="S114">
        <v>0</v>
      </c>
      <c r="T114">
        <v>625</v>
      </c>
      <c r="U114">
        <v>147</v>
      </c>
      <c r="V114">
        <v>238</v>
      </c>
      <c r="W114">
        <v>239</v>
      </c>
      <c r="X114">
        <v>0</v>
      </c>
      <c r="Y114">
        <v>4251</v>
      </c>
      <c r="Z114">
        <v>4199</v>
      </c>
      <c r="AA114">
        <v>15866</v>
      </c>
    </row>
    <row r="115" spans="1:27" x14ac:dyDescent="0.25">
      <c r="A115" s="23">
        <v>44927</v>
      </c>
      <c r="B115" s="24" t="str">
        <f>VLOOKUP($J115,Sheet2!$A$2:$E$46,5,0)</f>
        <v>WF-2</v>
      </c>
      <c r="J115" t="s">
        <v>41</v>
      </c>
      <c r="L115">
        <v>1017</v>
      </c>
      <c r="M115">
        <v>1177</v>
      </c>
      <c r="N115">
        <v>591</v>
      </c>
      <c r="O115">
        <v>3148</v>
      </c>
      <c r="P115">
        <v>578</v>
      </c>
      <c r="Q115">
        <v>307</v>
      </c>
      <c r="R115">
        <v>208</v>
      </c>
      <c r="S115">
        <v>0</v>
      </c>
      <c r="T115">
        <v>575</v>
      </c>
      <c r="U115">
        <v>240</v>
      </c>
      <c r="V115">
        <v>208</v>
      </c>
      <c r="W115">
        <v>126</v>
      </c>
      <c r="X115">
        <v>0</v>
      </c>
      <c r="Y115">
        <v>2212</v>
      </c>
      <c r="Z115">
        <v>2188</v>
      </c>
      <c r="AA115">
        <v>8254</v>
      </c>
    </row>
    <row r="116" spans="1:27" x14ac:dyDescent="0.25">
      <c r="A116" s="23">
        <v>44927</v>
      </c>
      <c r="B116" s="24" t="str">
        <f>VLOOKUP($J116,Sheet2!$A$2:$E$46,5,0)</f>
        <v>WF-5</v>
      </c>
      <c r="J116" t="s">
        <v>55</v>
      </c>
      <c r="L116">
        <v>15</v>
      </c>
      <c r="M116">
        <v>16</v>
      </c>
      <c r="N116">
        <v>13</v>
      </c>
      <c r="O116">
        <v>2454</v>
      </c>
      <c r="P116">
        <v>6</v>
      </c>
      <c r="Q116">
        <v>4</v>
      </c>
      <c r="R116">
        <v>5</v>
      </c>
      <c r="S116">
        <v>0</v>
      </c>
      <c r="T116">
        <v>12</v>
      </c>
      <c r="U116">
        <v>5</v>
      </c>
      <c r="V116">
        <v>2</v>
      </c>
      <c r="W116">
        <v>5</v>
      </c>
      <c r="X116">
        <v>0</v>
      </c>
      <c r="Y116">
        <v>1718</v>
      </c>
      <c r="Z116">
        <v>1713</v>
      </c>
      <c r="AA116">
        <v>6684</v>
      </c>
    </row>
    <row r="117" spans="1:27" x14ac:dyDescent="0.25">
      <c r="A117" s="23">
        <v>44927</v>
      </c>
      <c r="B117" s="24" t="str">
        <f>VLOOKUP($J117,Sheet2!$A$2:$E$46,5,0)</f>
        <v>WF-5</v>
      </c>
      <c r="J117" t="s">
        <v>65</v>
      </c>
      <c r="L117">
        <v>43</v>
      </c>
      <c r="M117">
        <v>48</v>
      </c>
      <c r="N117">
        <v>19</v>
      </c>
      <c r="O117">
        <v>2442</v>
      </c>
      <c r="P117">
        <v>28</v>
      </c>
      <c r="Q117">
        <v>13</v>
      </c>
      <c r="R117">
        <v>3</v>
      </c>
      <c r="S117">
        <v>0</v>
      </c>
      <c r="T117">
        <v>17</v>
      </c>
      <c r="U117">
        <v>6</v>
      </c>
      <c r="V117">
        <v>8</v>
      </c>
      <c r="W117">
        <v>3</v>
      </c>
      <c r="X117">
        <v>0</v>
      </c>
      <c r="Y117">
        <v>1612</v>
      </c>
      <c r="Z117">
        <v>1606</v>
      </c>
      <c r="AA117">
        <v>5709</v>
      </c>
    </row>
    <row r="118" spans="1:27" x14ac:dyDescent="0.25">
      <c r="A118" s="23">
        <v>44927</v>
      </c>
      <c r="B118" s="24" t="str">
        <f>VLOOKUP($J118,Sheet2!$A$2:$E$46,5,0)</f>
        <v>WF-1</v>
      </c>
      <c r="J118" t="s">
        <v>89</v>
      </c>
      <c r="L118">
        <v>267</v>
      </c>
      <c r="M118">
        <v>308</v>
      </c>
      <c r="N118">
        <v>97</v>
      </c>
      <c r="O118">
        <v>2675</v>
      </c>
      <c r="P118">
        <v>20</v>
      </c>
      <c r="Q118">
        <v>8</v>
      </c>
      <c r="R118">
        <v>238</v>
      </c>
      <c r="S118">
        <v>0</v>
      </c>
      <c r="T118">
        <v>55</v>
      </c>
      <c r="U118">
        <v>17</v>
      </c>
      <c r="V118">
        <v>7</v>
      </c>
      <c r="W118">
        <v>31</v>
      </c>
      <c r="X118">
        <v>0</v>
      </c>
      <c r="Y118">
        <v>2009</v>
      </c>
      <c r="Z118">
        <v>1995</v>
      </c>
      <c r="AA118">
        <v>7390</v>
      </c>
    </row>
    <row r="119" spans="1:27" x14ac:dyDescent="0.25">
      <c r="A119" s="23">
        <v>44927</v>
      </c>
      <c r="B119" s="24" t="str">
        <f>VLOOKUP($J119,Sheet2!$A$2:$E$46,5,0)</f>
        <v>WF-2</v>
      </c>
      <c r="J119" t="s">
        <v>33</v>
      </c>
      <c r="L119">
        <v>1685</v>
      </c>
      <c r="M119">
        <v>1702</v>
      </c>
      <c r="N119">
        <v>610</v>
      </c>
      <c r="O119">
        <v>5609</v>
      </c>
      <c r="P119">
        <v>728</v>
      </c>
      <c r="Q119">
        <v>665</v>
      </c>
      <c r="R119">
        <v>401</v>
      </c>
      <c r="S119">
        <v>0</v>
      </c>
      <c r="T119">
        <v>601</v>
      </c>
      <c r="U119">
        <v>167</v>
      </c>
      <c r="V119">
        <v>231</v>
      </c>
      <c r="W119">
        <v>203</v>
      </c>
      <c r="X119">
        <v>0</v>
      </c>
      <c r="Y119">
        <v>3599</v>
      </c>
      <c r="Z119">
        <v>3551</v>
      </c>
      <c r="AA119">
        <v>13154</v>
      </c>
    </row>
    <row r="120" spans="1:27" x14ac:dyDescent="0.25">
      <c r="A120" s="23">
        <v>44927</v>
      </c>
      <c r="B120" s="24" t="str">
        <f>VLOOKUP($J120,Sheet2!$A$2:$E$46,5,0)</f>
        <v>WF-6</v>
      </c>
      <c r="J120" t="s">
        <v>103</v>
      </c>
      <c r="L120">
        <v>73</v>
      </c>
      <c r="M120">
        <v>211</v>
      </c>
      <c r="N120">
        <v>209</v>
      </c>
      <c r="O120">
        <v>3733</v>
      </c>
      <c r="P120">
        <v>26</v>
      </c>
      <c r="Q120">
        <v>25</v>
      </c>
      <c r="R120">
        <v>23</v>
      </c>
      <c r="S120">
        <v>0</v>
      </c>
      <c r="T120">
        <v>72</v>
      </c>
      <c r="U120">
        <v>25</v>
      </c>
      <c r="V120">
        <v>23</v>
      </c>
      <c r="W120">
        <v>24</v>
      </c>
      <c r="X120">
        <v>0</v>
      </c>
      <c r="Y120">
        <v>2514</v>
      </c>
      <c r="Z120">
        <v>2489</v>
      </c>
      <c r="AA120">
        <v>8993</v>
      </c>
    </row>
    <row r="121" spans="1:27" x14ac:dyDescent="0.25">
      <c r="A121" s="23">
        <v>44927</v>
      </c>
      <c r="B121" s="24" t="str">
        <f>VLOOKUP($J121,Sheet2!$A$2:$E$46,5,0)</f>
        <v>WF-4</v>
      </c>
      <c r="J121" t="s">
        <v>63</v>
      </c>
      <c r="L121">
        <v>777</v>
      </c>
      <c r="M121">
        <v>796</v>
      </c>
      <c r="N121">
        <v>313</v>
      </c>
      <c r="O121">
        <v>3171</v>
      </c>
      <c r="P121">
        <v>307</v>
      </c>
      <c r="Q121">
        <v>80</v>
      </c>
      <c r="R121">
        <v>431</v>
      </c>
      <c r="S121">
        <v>0</v>
      </c>
      <c r="T121">
        <v>297</v>
      </c>
      <c r="U121">
        <v>122</v>
      </c>
      <c r="V121">
        <v>31</v>
      </c>
      <c r="W121">
        <v>144</v>
      </c>
      <c r="X121">
        <v>0</v>
      </c>
      <c r="Y121">
        <v>2262</v>
      </c>
      <c r="Z121">
        <v>2212</v>
      </c>
      <c r="AA121">
        <v>8039</v>
      </c>
    </row>
    <row r="122" spans="1:27" x14ac:dyDescent="0.25">
      <c r="A122" s="23">
        <v>44927</v>
      </c>
      <c r="B122" s="24" t="str">
        <f>VLOOKUP($J122,Sheet2!$A$2:$E$46,5,0)</f>
        <v>WF-1</v>
      </c>
      <c r="J122" t="s">
        <v>39</v>
      </c>
      <c r="L122">
        <v>276</v>
      </c>
      <c r="M122">
        <v>312</v>
      </c>
      <c r="N122">
        <v>265</v>
      </c>
      <c r="O122">
        <v>3455</v>
      </c>
      <c r="P122">
        <v>101</v>
      </c>
      <c r="Q122">
        <v>76</v>
      </c>
      <c r="R122">
        <v>105</v>
      </c>
      <c r="S122">
        <v>0</v>
      </c>
      <c r="T122">
        <v>236</v>
      </c>
      <c r="U122">
        <v>89</v>
      </c>
      <c r="V122">
        <v>59</v>
      </c>
      <c r="W122">
        <v>88</v>
      </c>
      <c r="X122">
        <v>0</v>
      </c>
      <c r="Y122">
        <v>2402</v>
      </c>
      <c r="Z122">
        <v>2360</v>
      </c>
      <c r="AA122">
        <v>8562</v>
      </c>
    </row>
    <row r="123" spans="1:27" x14ac:dyDescent="0.25">
      <c r="A123" s="23">
        <v>44927</v>
      </c>
      <c r="B123" s="24" t="str">
        <f>VLOOKUP($J123,Sheet2!$A$2:$E$46,5,0)</f>
        <v>WF-5</v>
      </c>
      <c r="J123" t="s">
        <v>67</v>
      </c>
      <c r="L123">
        <v>1072</v>
      </c>
      <c r="M123">
        <v>1278</v>
      </c>
      <c r="N123">
        <v>855</v>
      </c>
      <c r="O123">
        <v>5412</v>
      </c>
      <c r="P123">
        <v>646</v>
      </c>
      <c r="Q123">
        <v>327</v>
      </c>
      <c r="R123">
        <v>144</v>
      </c>
      <c r="S123">
        <v>0</v>
      </c>
      <c r="T123">
        <v>681</v>
      </c>
      <c r="U123">
        <v>357</v>
      </c>
      <c r="V123">
        <v>191</v>
      </c>
      <c r="W123">
        <v>133</v>
      </c>
      <c r="X123">
        <v>0</v>
      </c>
      <c r="Y123">
        <v>3469</v>
      </c>
      <c r="Z123">
        <v>3397</v>
      </c>
      <c r="AA123">
        <v>14854</v>
      </c>
    </row>
    <row r="124" spans="1:27" x14ac:dyDescent="0.25">
      <c r="A124" s="23">
        <v>44927</v>
      </c>
      <c r="B124" s="24" t="str">
        <f>VLOOKUP($J124,Sheet2!$A$2:$E$46,5,0)</f>
        <v>WF-7</v>
      </c>
      <c r="J124" t="s">
        <v>95</v>
      </c>
      <c r="L124">
        <v>1274</v>
      </c>
      <c r="M124">
        <v>1277</v>
      </c>
      <c r="N124">
        <v>32</v>
      </c>
      <c r="O124">
        <v>2167</v>
      </c>
      <c r="P124">
        <v>4</v>
      </c>
      <c r="Q124">
        <v>4</v>
      </c>
      <c r="R124">
        <v>1265</v>
      </c>
      <c r="S124">
        <v>0</v>
      </c>
      <c r="T124">
        <v>30</v>
      </c>
      <c r="U124">
        <v>4</v>
      </c>
      <c r="V124">
        <v>4</v>
      </c>
      <c r="W124">
        <v>15</v>
      </c>
      <c r="X124">
        <v>0</v>
      </c>
      <c r="Y124">
        <v>1584</v>
      </c>
      <c r="Z124">
        <v>1581</v>
      </c>
      <c r="AA124">
        <v>6387</v>
      </c>
    </row>
    <row r="125" spans="1:27" x14ac:dyDescent="0.25">
      <c r="A125" s="23">
        <v>44927</v>
      </c>
      <c r="B125" s="24" t="str">
        <f>VLOOKUP($J125,Sheet2!$A$2:$E$46,5,0)</f>
        <v>WF-1</v>
      </c>
      <c r="J125" t="s">
        <v>101</v>
      </c>
      <c r="L125">
        <v>558</v>
      </c>
      <c r="M125">
        <v>568</v>
      </c>
      <c r="N125">
        <v>186</v>
      </c>
      <c r="O125">
        <v>1716</v>
      </c>
      <c r="P125">
        <v>499</v>
      </c>
      <c r="Q125">
        <v>102</v>
      </c>
      <c r="R125">
        <v>43</v>
      </c>
      <c r="S125">
        <v>0</v>
      </c>
      <c r="T125">
        <v>177</v>
      </c>
      <c r="U125">
        <v>35</v>
      </c>
      <c r="V125">
        <v>100</v>
      </c>
      <c r="W125">
        <v>42</v>
      </c>
      <c r="X125">
        <v>0</v>
      </c>
      <c r="Y125">
        <v>1319</v>
      </c>
      <c r="Z125">
        <v>1312</v>
      </c>
      <c r="AA125">
        <v>4412</v>
      </c>
    </row>
    <row r="126" spans="1:27" x14ac:dyDescent="0.25">
      <c r="A126" s="23">
        <v>44927</v>
      </c>
      <c r="B126" s="24" t="str">
        <f>VLOOKUP($J126,Sheet2!$A$2:$E$46,5,0)</f>
        <v>WF-4</v>
      </c>
      <c r="J126" t="s">
        <v>53</v>
      </c>
      <c r="L126">
        <v>303</v>
      </c>
      <c r="M126">
        <v>314</v>
      </c>
      <c r="N126">
        <v>189</v>
      </c>
      <c r="O126">
        <v>2328</v>
      </c>
      <c r="P126">
        <v>77</v>
      </c>
      <c r="Q126">
        <v>197</v>
      </c>
      <c r="R126">
        <v>36</v>
      </c>
      <c r="S126">
        <v>0</v>
      </c>
      <c r="T126">
        <v>182</v>
      </c>
      <c r="U126">
        <v>76</v>
      </c>
      <c r="V126">
        <v>72</v>
      </c>
      <c r="W126">
        <v>34</v>
      </c>
      <c r="X126">
        <v>0</v>
      </c>
      <c r="Y126">
        <v>1673</v>
      </c>
      <c r="Z126">
        <v>1653</v>
      </c>
      <c r="AA126">
        <v>7089</v>
      </c>
    </row>
    <row r="127" spans="1:27" x14ac:dyDescent="0.25">
      <c r="A127" s="23">
        <v>44927</v>
      </c>
      <c r="B127" s="24" t="str">
        <f>VLOOKUP($J127,Sheet2!$A$2:$E$46,5,0)</f>
        <v>WF-1</v>
      </c>
      <c r="J127" t="s">
        <v>37</v>
      </c>
      <c r="L127">
        <v>113</v>
      </c>
      <c r="M127">
        <v>181</v>
      </c>
      <c r="N127">
        <v>179</v>
      </c>
      <c r="O127">
        <v>1572</v>
      </c>
      <c r="P127">
        <v>26</v>
      </c>
      <c r="Q127">
        <v>51</v>
      </c>
      <c r="R127">
        <v>33</v>
      </c>
      <c r="S127">
        <v>0</v>
      </c>
      <c r="T127">
        <v>112</v>
      </c>
      <c r="U127">
        <v>26</v>
      </c>
      <c r="V127">
        <v>43</v>
      </c>
      <c r="W127">
        <v>11</v>
      </c>
      <c r="X127">
        <v>0</v>
      </c>
      <c r="Y127">
        <v>959</v>
      </c>
      <c r="Z127">
        <v>957</v>
      </c>
      <c r="AA127">
        <v>3854</v>
      </c>
    </row>
    <row r="128" spans="1:27" x14ac:dyDescent="0.25">
      <c r="A128" s="23">
        <v>44927</v>
      </c>
      <c r="B128" s="24" t="str">
        <f>VLOOKUP($J128,Sheet2!$A$2:$E$46,5,0)</f>
        <v>WF-5</v>
      </c>
      <c r="J128" t="s">
        <v>61</v>
      </c>
      <c r="L128">
        <v>381</v>
      </c>
      <c r="M128">
        <v>384</v>
      </c>
      <c r="N128">
        <v>20</v>
      </c>
      <c r="O128">
        <v>1501</v>
      </c>
      <c r="P128">
        <v>6</v>
      </c>
      <c r="Q128">
        <v>7</v>
      </c>
      <c r="R128">
        <v>369</v>
      </c>
      <c r="S128">
        <v>0</v>
      </c>
      <c r="T128">
        <v>20</v>
      </c>
      <c r="U128">
        <v>2</v>
      </c>
      <c r="V128">
        <v>4</v>
      </c>
      <c r="W128">
        <v>14</v>
      </c>
      <c r="X128">
        <v>0</v>
      </c>
      <c r="Y128">
        <v>965</v>
      </c>
      <c r="Z128">
        <v>951</v>
      </c>
      <c r="AA128">
        <v>3933</v>
      </c>
    </row>
    <row r="129" spans="1:27" x14ac:dyDescent="0.25">
      <c r="A129" s="23">
        <v>44927</v>
      </c>
      <c r="B129" s="24" t="str">
        <f>VLOOKUP($J129,Sheet2!$A$2:$E$46,5,0)</f>
        <v>WF-5</v>
      </c>
      <c r="J129" t="s">
        <v>69</v>
      </c>
      <c r="L129">
        <v>103</v>
      </c>
      <c r="M129">
        <v>108</v>
      </c>
      <c r="N129">
        <v>104</v>
      </c>
      <c r="O129">
        <v>1325</v>
      </c>
      <c r="P129">
        <v>41</v>
      </c>
      <c r="Q129">
        <v>30</v>
      </c>
      <c r="R129">
        <v>33</v>
      </c>
      <c r="S129">
        <v>0</v>
      </c>
      <c r="T129">
        <v>101</v>
      </c>
      <c r="U129">
        <v>38</v>
      </c>
      <c r="V129">
        <v>30</v>
      </c>
      <c r="W129">
        <v>33</v>
      </c>
      <c r="X129">
        <v>0</v>
      </c>
      <c r="Y129">
        <v>891</v>
      </c>
      <c r="Z129">
        <v>875</v>
      </c>
      <c r="AA129">
        <v>3467</v>
      </c>
    </row>
    <row r="130" spans="1:27" x14ac:dyDescent="0.25">
      <c r="A130" s="23">
        <v>44927</v>
      </c>
      <c r="B130" s="24" t="str">
        <f>VLOOKUP($J130,Sheet2!$A$2:$E$46,5,0)</f>
        <v>WF-6</v>
      </c>
      <c r="J130" t="s">
        <v>79</v>
      </c>
      <c r="L130">
        <v>70</v>
      </c>
      <c r="M130">
        <v>79</v>
      </c>
      <c r="N130">
        <v>74</v>
      </c>
      <c r="O130">
        <v>1169</v>
      </c>
      <c r="P130">
        <v>29</v>
      </c>
      <c r="Q130">
        <v>33</v>
      </c>
      <c r="R130">
        <v>8</v>
      </c>
      <c r="S130">
        <v>0</v>
      </c>
      <c r="T130">
        <v>70</v>
      </c>
      <c r="U130">
        <v>30</v>
      </c>
      <c r="V130">
        <v>32</v>
      </c>
      <c r="W130">
        <v>8</v>
      </c>
      <c r="X130">
        <v>0</v>
      </c>
      <c r="Y130">
        <v>725</v>
      </c>
      <c r="Z130">
        <v>711</v>
      </c>
      <c r="AA130">
        <v>2817</v>
      </c>
    </row>
    <row r="131" spans="1:27" x14ac:dyDescent="0.25">
      <c r="A131" s="23">
        <v>44927</v>
      </c>
      <c r="B131" s="24" t="str">
        <f>VLOOKUP($J131,Sheet2!$A$2:$E$46,5,0)</f>
        <v>WF-4</v>
      </c>
      <c r="J131" t="s">
        <v>57</v>
      </c>
      <c r="L131">
        <v>254</v>
      </c>
      <c r="M131">
        <v>258</v>
      </c>
      <c r="N131">
        <v>177</v>
      </c>
      <c r="O131">
        <v>1254</v>
      </c>
      <c r="P131">
        <v>192</v>
      </c>
      <c r="Q131">
        <v>36</v>
      </c>
      <c r="R131">
        <v>43</v>
      </c>
      <c r="S131">
        <v>0</v>
      </c>
      <c r="T131">
        <v>175</v>
      </c>
      <c r="U131">
        <v>97</v>
      </c>
      <c r="V131">
        <v>35</v>
      </c>
      <c r="W131">
        <v>43</v>
      </c>
      <c r="X131">
        <v>0</v>
      </c>
      <c r="Y131">
        <v>846</v>
      </c>
      <c r="Z131">
        <v>836</v>
      </c>
      <c r="AA131">
        <v>3468</v>
      </c>
    </row>
    <row r="132" spans="1:27" x14ac:dyDescent="0.25">
      <c r="A132" s="23">
        <v>44927</v>
      </c>
      <c r="B132" s="24" t="str">
        <f>VLOOKUP($J132,Sheet2!$A$2:$E$46,5,0)</f>
        <v>WF-2</v>
      </c>
      <c r="J132" t="s">
        <v>31</v>
      </c>
      <c r="L132">
        <v>537</v>
      </c>
      <c r="M132">
        <v>558</v>
      </c>
      <c r="N132">
        <v>347</v>
      </c>
      <c r="O132">
        <v>3719</v>
      </c>
      <c r="P132">
        <v>190</v>
      </c>
      <c r="Q132">
        <v>244</v>
      </c>
      <c r="R132">
        <v>133</v>
      </c>
      <c r="S132">
        <v>0</v>
      </c>
      <c r="T132">
        <v>332</v>
      </c>
      <c r="U132">
        <v>98</v>
      </c>
      <c r="V132">
        <v>163</v>
      </c>
      <c r="W132">
        <v>71</v>
      </c>
      <c r="X132">
        <v>0</v>
      </c>
      <c r="Y132">
        <v>2308</v>
      </c>
      <c r="Z132">
        <v>2272</v>
      </c>
      <c r="AA132">
        <v>9586</v>
      </c>
    </row>
    <row r="133" spans="1:27" x14ac:dyDescent="0.25">
      <c r="A133" s="23">
        <v>44927</v>
      </c>
      <c r="B133" s="24" t="str">
        <f>VLOOKUP($J133,Sheet2!$A$2:$E$46,5,0)</f>
        <v>WF-1</v>
      </c>
      <c r="J133" t="s">
        <v>97</v>
      </c>
      <c r="L133">
        <v>285</v>
      </c>
      <c r="M133">
        <v>291</v>
      </c>
      <c r="N133">
        <v>116</v>
      </c>
      <c r="O133">
        <v>2520</v>
      </c>
      <c r="P133">
        <v>21</v>
      </c>
      <c r="Q133">
        <v>34</v>
      </c>
      <c r="R133">
        <v>230</v>
      </c>
      <c r="S133">
        <v>0</v>
      </c>
      <c r="T133">
        <v>110</v>
      </c>
      <c r="U133">
        <v>20</v>
      </c>
      <c r="V133">
        <v>31</v>
      </c>
      <c r="W133">
        <v>57</v>
      </c>
      <c r="X133">
        <v>0</v>
      </c>
      <c r="Y133">
        <v>1690</v>
      </c>
      <c r="Z133">
        <v>1682</v>
      </c>
      <c r="AA133">
        <v>6508</v>
      </c>
    </row>
    <row r="134" spans="1:27" x14ac:dyDescent="0.25">
      <c r="A134" s="23">
        <v>44927</v>
      </c>
      <c r="B134" s="24" t="str">
        <f>VLOOKUP($J134,Sheet2!$A$2:$E$46,5,0)</f>
        <v>Total</v>
      </c>
      <c r="J134" t="s">
        <v>107</v>
      </c>
      <c r="L134">
        <v>17339</v>
      </c>
      <c r="M134">
        <v>18690</v>
      </c>
      <c r="N134">
        <v>7927</v>
      </c>
      <c r="O134">
        <v>104543</v>
      </c>
      <c r="P134">
        <v>5466</v>
      </c>
      <c r="Q134">
        <v>5440</v>
      </c>
      <c r="R134">
        <v>7337</v>
      </c>
      <c r="S134">
        <v>0</v>
      </c>
      <c r="T134">
        <v>7020</v>
      </c>
      <c r="U134">
        <v>2224</v>
      </c>
      <c r="V134">
        <v>2315</v>
      </c>
      <c r="W134">
        <v>2304</v>
      </c>
      <c r="X134">
        <v>0</v>
      </c>
      <c r="Y134">
        <v>71666</v>
      </c>
      <c r="Z134">
        <v>70851</v>
      </c>
      <c r="AA134">
        <v>271306</v>
      </c>
    </row>
    <row r="135" spans="1:27" x14ac:dyDescent="0.25">
      <c r="A135" s="23">
        <v>44927</v>
      </c>
      <c r="B135" s="24" t="str">
        <f>VLOOKUP($J135,Sheet2!$A$2:$E$46,5,0)</f>
        <v>WF-7</v>
      </c>
      <c r="J135" t="s">
        <v>118</v>
      </c>
      <c r="L135">
        <v>323</v>
      </c>
      <c r="M135">
        <v>326</v>
      </c>
      <c r="N135">
        <v>60</v>
      </c>
      <c r="O135">
        <v>1540</v>
      </c>
      <c r="P135">
        <v>1</v>
      </c>
      <c r="Q135">
        <v>5</v>
      </c>
      <c r="R135">
        <v>317</v>
      </c>
      <c r="S135">
        <v>0</v>
      </c>
      <c r="T135">
        <v>60</v>
      </c>
      <c r="U135">
        <v>1</v>
      </c>
      <c r="V135">
        <v>7</v>
      </c>
      <c r="W135">
        <v>24</v>
      </c>
      <c r="X135">
        <v>0</v>
      </c>
      <c r="Y135">
        <v>1529</v>
      </c>
      <c r="Z135">
        <v>1524</v>
      </c>
    </row>
    <row r="136" spans="1:27" x14ac:dyDescent="0.25">
      <c r="A136" s="23">
        <v>44927</v>
      </c>
      <c r="B136" s="24" t="str">
        <f>VLOOKUP($J136,Sheet2!$A$2:$E$46,5,0)</f>
        <v>WF-7</v>
      </c>
      <c r="J136" t="s">
        <v>116</v>
      </c>
      <c r="L136">
        <v>318</v>
      </c>
      <c r="M136">
        <v>320</v>
      </c>
      <c r="N136">
        <v>98</v>
      </c>
      <c r="O136">
        <v>2615</v>
      </c>
      <c r="P136">
        <v>19</v>
      </c>
      <c r="Q136">
        <v>11</v>
      </c>
      <c r="R136">
        <v>288</v>
      </c>
      <c r="S136">
        <v>0</v>
      </c>
      <c r="T136">
        <v>97</v>
      </c>
      <c r="U136">
        <v>36</v>
      </c>
      <c r="V136">
        <v>9</v>
      </c>
      <c r="W136">
        <v>24</v>
      </c>
      <c r="X136">
        <v>0</v>
      </c>
      <c r="Y136">
        <v>2608</v>
      </c>
      <c r="Z136">
        <v>2583</v>
      </c>
    </row>
    <row r="137" spans="1:27" x14ac:dyDescent="0.25">
      <c r="A137" s="23">
        <v>44927</v>
      </c>
      <c r="B137" s="24" t="str">
        <f>VLOOKUP($J137,Sheet2!$A$2:$E$46,5,0)</f>
        <v>WF-7</v>
      </c>
      <c r="J137" t="s">
        <v>120</v>
      </c>
      <c r="L137">
        <v>342</v>
      </c>
      <c r="M137">
        <v>344</v>
      </c>
      <c r="N137">
        <v>144</v>
      </c>
      <c r="O137">
        <v>2020</v>
      </c>
      <c r="P137">
        <v>37</v>
      </c>
      <c r="Q137">
        <v>91</v>
      </c>
      <c r="R137">
        <v>214</v>
      </c>
      <c r="S137">
        <v>0</v>
      </c>
      <c r="T137">
        <v>142</v>
      </c>
      <c r="U137">
        <v>38</v>
      </c>
      <c r="V137">
        <v>34</v>
      </c>
      <c r="W137">
        <v>22</v>
      </c>
      <c r="X137">
        <v>0</v>
      </c>
      <c r="Y137">
        <v>2007</v>
      </c>
      <c r="Z137">
        <v>1984</v>
      </c>
    </row>
    <row r="138" spans="1:27" x14ac:dyDescent="0.25">
      <c r="A138" s="23">
        <v>44927</v>
      </c>
      <c r="B138" s="24" t="str">
        <f>VLOOKUP($J138,Sheet2!$A$2:$E$46,5,0)</f>
        <v>WF-1</v>
      </c>
      <c r="J138" t="s">
        <v>113</v>
      </c>
      <c r="L138">
        <v>11</v>
      </c>
      <c r="M138">
        <v>11</v>
      </c>
      <c r="N138">
        <v>15</v>
      </c>
      <c r="O138">
        <v>1589</v>
      </c>
      <c r="P138">
        <v>10</v>
      </c>
      <c r="Q138">
        <v>1</v>
      </c>
      <c r="R138">
        <v>0</v>
      </c>
      <c r="S138">
        <v>0</v>
      </c>
      <c r="T138">
        <v>15</v>
      </c>
      <c r="U138">
        <v>14</v>
      </c>
      <c r="V138">
        <v>1</v>
      </c>
      <c r="W138">
        <v>0</v>
      </c>
      <c r="X138">
        <v>0</v>
      </c>
      <c r="Y138">
        <v>1578</v>
      </c>
      <c r="Z138">
        <v>1561</v>
      </c>
    </row>
    <row r="139" spans="1:27" x14ac:dyDescent="0.25">
      <c r="A139" s="23">
        <v>44927</v>
      </c>
      <c r="B139" s="24" t="str">
        <f>VLOOKUP($J139,Sheet2!$A$2:$E$46,5,0)</f>
        <v>WF-1</v>
      </c>
      <c r="J139" t="s">
        <v>110</v>
      </c>
      <c r="L139">
        <v>418</v>
      </c>
      <c r="M139">
        <v>420</v>
      </c>
      <c r="N139">
        <v>197</v>
      </c>
      <c r="O139">
        <v>1550</v>
      </c>
      <c r="P139">
        <v>42</v>
      </c>
      <c r="Q139">
        <v>95</v>
      </c>
      <c r="R139">
        <v>269</v>
      </c>
      <c r="S139">
        <v>0</v>
      </c>
      <c r="T139" s="178">
        <v>195</v>
      </c>
      <c r="U139" s="178">
        <v>42</v>
      </c>
      <c r="V139">
        <v>47</v>
      </c>
      <c r="W139">
        <v>23</v>
      </c>
      <c r="X139">
        <v>0</v>
      </c>
      <c r="Y139" s="178">
        <v>1546</v>
      </c>
      <c r="Z139" s="178">
        <v>1522</v>
      </c>
    </row>
    <row r="140" spans="1:27" x14ac:dyDescent="0.25">
      <c r="A140" s="23">
        <v>44927</v>
      </c>
      <c r="B140" s="24" t="str">
        <f>VLOOKUP($J140,Sheet2!$A$2:$E$46,5,0)</f>
        <v>WF-1</v>
      </c>
      <c r="J140" t="s">
        <v>106</v>
      </c>
      <c r="L140">
        <v>33</v>
      </c>
      <c r="M140">
        <v>368</v>
      </c>
      <c r="N140">
        <v>265</v>
      </c>
      <c r="O140">
        <v>6843</v>
      </c>
      <c r="P140">
        <v>5</v>
      </c>
      <c r="Q140">
        <v>9</v>
      </c>
      <c r="R140">
        <v>14</v>
      </c>
      <c r="S140"/>
      <c r="T140">
        <v>219</v>
      </c>
      <c r="U140">
        <v>12</v>
      </c>
      <c r="V140">
        <v>81</v>
      </c>
      <c r="W140">
        <v>78</v>
      </c>
      <c r="Y140">
        <v>5038</v>
      </c>
      <c r="Z140" s="178">
        <v>4567</v>
      </c>
      <c r="AA140" s="178">
        <v>15957</v>
      </c>
    </row>
    <row r="141" spans="1:27" x14ac:dyDescent="0.25">
      <c r="A141" s="23">
        <v>44927</v>
      </c>
      <c r="B141" s="24" t="str">
        <f>VLOOKUP($J141,Sheet2!$A$2:$E$46,5,0)</f>
        <v>WF-4</v>
      </c>
      <c r="J141" t="s">
        <v>75</v>
      </c>
      <c r="L141">
        <v>11</v>
      </c>
      <c r="M141">
        <v>92</v>
      </c>
      <c r="N141">
        <v>117</v>
      </c>
      <c r="O141">
        <v>3997</v>
      </c>
      <c r="P141">
        <v>4</v>
      </c>
      <c r="Q141">
        <v>5</v>
      </c>
      <c r="R141">
        <v>3</v>
      </c>
      <c r="S141"/>
      <c r="T141">
        <v>82</v>
      </c>
      <c r="U141">
        <v>54</v>
      </c>
      <c r="V141">
        <v>20</v>
      </c>
      <c r="W141">
        <v>5</v>
      </c>
      <c r="Y141">
        <v>2697</v>
      </c>
      <c r="Z141" s="178">
        <v>2483</v>
      </c>
      <c r="AA141" s="178">
        <v>9765</v>
      </c>
    </row>
    <row r="142" spans="1:27" x14ac:dyDescent="0.25">
      <c r="A142" s="23">
        <v>44927</v>
      </c>
      <c r="B142" s="24" t="str">
        <f>VLOOKUP($J142,Sheet2!$A$2:$E$46,5,0)</f>
        <v>WF-1</v>
      </c>
      <c r="J142" t="s">
        <v>105</v>
      </c>
      <c r="L142">
        <v>6</v>
      </c>
      <c r="M142">
        <v>163</v>
      </c>
      <c r="N142">
        <v>187</v>
      </c>
      <c r="O142">
        <v>2826</v>
      </c>
      <c r="P142">
        <v>1</v>
      </c>
      <c r="Q142">
        <v>4</v>
      </c>
      <c r="R142">
        <v>1</v>
      </c>
      <c r="S142"/>
      <c r="T142">
        <v>137</v>
      </c>
      <c r="U142">
        <v>67</v>
      </c>
      <c r="V142">
        <v>41</v>
      </c>
      <c r="W142">
        <v>21</v>
      </c>
      <c r="Y142">
        <v>2093</v>
      </c>
      <c r="Z142" s="178">
        <v>1945</v>
      </c>
      <c r="AA142" s="178">
        <v>7034</v>
      </c>
    </row>
    <row r="143" spans="1:27" x14ac:dyDescent="0.25">
      <c r="A143" s="23">
        <v>44927</v>
      </c>
      <c r="B143" s="24" t="str">
        <f>VLOOKUP($J143,Sheet2!$A$2:$E$46,5,0)</f>
        <v>WF-3</v>
      </c>
      <c r="J143" t="s">
        <v>73</v>
      </c>
      <c r="L143">
        <v>91</v>
      </c>
      <c r="M143">
        <v>560</v>
      </c>
      <c r="N143">
        <v>336</v>
      </c>
      <c r="O143">
        <v>5619</v>
      </c>
      <c r="P143">
        <v>22</v>
      </c>
      <c r="Q143">
        <v>37</v>
      </c>
      <c r="R143">
        <v>21</v>
      </c>
      <c r="S143"/>
      <c r="T143">
        <v>303</v>
      </c>
      <c r="U143">
        <v>83</v>
      </c>
      <c r="V143">
        <v>111</v>
      </c>
      <c r="W143">
        <v>86</v>
      </c>
      <c r="Y143">
        <v>4088</v>
      </c>
      <c r="Z143" s="178">
        <v>3718</v>
      </c>
      <c r="AA143" s="178">
        <v>15058</v>
      </c>
    </row>
    <row r="144" spans="1:27" x14ac:dyDescent="0.25">
      <c r="A144" s="23">
        <v>44927</v>
      </c>
      <c r="B144" s="24" t="str">
        <f>VLOOKUP($J144,Sheet2!$A$2:$E$46,5,0)</f>
        <v>WF-1</v>
      </c>
      <c r="J144" t="s">
        <v>43</v>
      </c>
      <c r="L144">
        <v>1</v>
      </c>
      <c r="M144">
        <v>18</v>
      </c>
      <c r="N144">
        <v>9</v>
      </c>
      <c r="O144">
        <v>2080</v>
      </c>
      <c r="P144">
        <v>0</v>
      </c>
      <c r="Q144" s="190"/>
      <c r="R144">
        <v>1</v>
      </c>
      <c r="S144"/>
      <c r="T144">
        <v>5</v>
      </c>
      <c r="U144">
        <v>2</v>
      </c>
      <c r="V144" s="190">
        <v>1</v>
      </c>
      <c r="W144">
        <v>2</v>
      </c>
      <c r="Y144" s="178">
        <v>1417</v>
      </c>
      <c r="Z144" s="178">
        <v>1337</v>
      </c>
      <c r="AA144">
        <v>4971</v>
      </c>
    </row>
    <row r="145" spans="1:27" x14ac:dyDescent="0.25">
      <c r="A145" s="23">
        <v>45017</v>
      </c>
      <c r="B145" s="24" t="e">
        <f>VLOOKUP($J145,Sheet2!$A$2:$E$46,5,0)</f>
        <v>#N/A</v>
      </c>
      <c r="C145" t="s">
        <v>185</v>
      </c>
      <c r="E145" t="s">
        <v>186</v>
      </c>
      <c r="G145" t="s">
        <v>187</v>
      </c>
      <c r="H145">
        <v>623757</v>
      </c>
      <c r="K145" t="s">
        <v>188</v>
      </c>
      <c r="L145" t="s">
        <v>189</v>
      </c>
      <c r="M145" t="s">
        <v>271</v>
      </c>
      <c r="N145" t="s">
        <v>272</v>
      </c>
      <c r="O145" t="s">
        <v>192</v>
      </c>
      <c r="P145" t="s">
        <v>193</v>
      </c>
      <c r="Q145" t="s">
        <v>194</v>
      </c>
      <c r="R145" t="s">
        <v>195</v>
      </c>
      <c r="S145" t="s">
        <v>196</v>
      </c>
      <c r="T145" t="s">
        <v>197</v>
      </c>
      <c r="U145" t="s">
        <v>198</v>
      </c>
      <c r="V145" t="s">
        <v>199</v>
      </c>
      <c r="W145" t="s">
        <v>200</v>
      </c>
      <c r="X145" t="s">
        <v>201</v>
      </c>
      <c r="Y145" t="s">
        <v>202</v>
      </c>
      <c r="Z145" t="s">
        <v>203</v>
      </c>
      <c r="AA145" t="s">
        <v>204</v>
      </c>
    </row>
    <row r="146" spans="1:27" x14ac:dyDescent="0.25">
      <c r="A146" s="23">
        <v>45017</v>
      </c>
      <c r="B146" s="24" t="e">
        <f>VLOOKUP($J146,Sheet2!$A$2:$E$46,5,0)</f>
        <v>#N/A</v>
      </c>
      <c r="E146" s="8">
        <v>45033.427777777775</v>
      </c>
      <c r="G146" t="s">
        <v>205</v>
      </c>
      <c r="H146">
        <v>321511</v>
      </c>
      <c r="J146" t="s">
        <v>29</v>
      </c>
      <c r="R146"/>
      <c r="S146"/>
      <c r="W146"/>
      <c r="X146"/>
    </row>
    <row r="147" spans="1:27" x14ac:dyDescent="0.25">
      <c r="A147" s="23">
        <v>45017</v>
      </c>
      <c r="B147" s="24" t="str">
        <f>VLOOKUP($J147,Sheet2!$A$2:$E$46,5,0)</f>
        <v>WF-6</v>
      </c>
      <c r="E147" t="s">
        <v>206</v>
      </c>
      <c r="G147" t="s">
        <v>207</v>
      </c>
      <c r="H147">
        <v>302246</v>
      </c>
      <c r="J147" t="s">
        <v>81</v>
      </c>
      <c r="L147">
        <v>251</v>
      </c>
      <c r="M147">
        <v>414</v>
      </c>
      <c r="N147">
        <v>196</v>
      </c>
      <c r="O147">
        <v>3385</v>
      </c>
      <c r="P147">
        <v>114</v>
      </c>
      <c r="Q147">
        <v>93</v>
      </c>
      <c r="R147">
        <v>9</v>
      </c>
      <c r="S147">
        <v>38</v>
      </c>
      <c r="T147">
        <v>169</v>
      </c>
      <c r="U147">
        <v>85</v>
      </c>
      <c r="V147">
        <v>77</v>
      </c>
      <c r="W147">
        <v>2</v>
      </c>
      <c r="X147">
        <v>5</v>
      </c>
      <c r="Y147">
        <v>2238</v>
      </c>
      <c r="Z147">
        <v>2220</v>
      </c>
      <c r="AA147">
        <v>8436</v>
      </c>
    </row>
    <row r="148" spans="1:27" x14ac:dyDescent="0.25">
      <c r="A148" s="23">
        <v>45017</v>
      </c>
      <c r="B148" s="24" t="str">
        <f>VLOOKUP($J148,Sheet2!$A$2:$E$46,5,0)</f>
        <v>WF-1</v>
      </c>
      <c r="E148" s="7">
        <v>45017</v>
      </c>
      <c r="J148" t="s">
        <v>83</v>
      </c>
      <c r="L148">
        <v>1404</v>
      </c>
      <c r="M148">
        <v>1440</v>
      </c>
      <c r="N148">
        <v>357</v>
      </c>
      <c r="O148">
        <v>3414</v>
      </c>
      <c r="P148">
        <v>320</v>
      </c>
      <c r="Q148">
        <v>480</v>
      </c>
      <c r="R148">
        <v>566</v>
      </c>
      <c r="S148">
        <v>148</v>
      </c>
      <c r="T148">
        <v>335</v>
      </c>
      <c r="U148">
        <v>50</v>
      </c>
      <c r="V148">
        <v>57</v>
      </c>
      <c r="W148">
        <v>78</v>
      </c>
      <c r="X148">
        <v>142</v>
      </c>
      <c r="Y148">
        <v>2512</v>
      </c>
      <c r="Z148">
        <v>2489</v>
      </c>
      <c r="AA148">
        <v>9496</v>
      </c>
    </row>
    <row r="149" spans="1:27" x14ac:dyDescent="0.25">
      <c r="A149" s="23">
        <v>45017</v>
      </c>
      <c r="B149" s="24" t="str">
        <f>VLOOKUP($J149,Sheet2!$A$2:$E$46,5,0)</f>
        <v>WF-7</v>
      </c>
      <c r="J149" t="s">
        <v>87</v>
      </c>
      <c r="L149">
        <v>93</v>
      </c>
      <c r="M149">
        <v>124</v>
      </c>
      <c r="N149">
        <v>117</v>
      </c>
      <c r="O149">
        <v>2817</v>
      </c>
      <c r="P149">
        <v>5</v>
      </c>
      <c r="Q149">
        <v>9</v>
      </c>
      <c r="R149">
        <v>33</v>
      </c>
      <c r="S149">
        <v>39</v>
      </c>
      <c r="T149">
        <v>85</v>
      </c>
      <c r="U149">
        <v>1</v>
      </c>
      <c r="V149">
        <v>7</v>
      </c>
      <c r="W149">
        <v>18</v>
      </c>
      <c r="X149">
        <v>23</v>
      </c>
      <c r="Y149">
        <v>1891</v>
      </c>
      <c r="Z149">
        <v>1883</v>
      </c>
      <c r="AA149">
        <v>7082</v>
      </c>
    </row>
    <row r="150" spans="1:27" x14ac:dyDescent="0.25">
      <c r="A150" s="23">
        <v>45017</v>
      </c>
      <c r="B150" s="24" t="str">
        <f>VLOOKUP($J150,Sheet2!$A$2:$E$46,5,0)</f>
        <v>WF-3</v>
      </c>
      <c r="J150" t="s">
        <v>45</v>
      </c>
      <c r="L150">
        <v>77</v>
      </c>
      <c r="M150">
        <v>152</v>
      </c>
      <c r="N150">
        <v>72</v>
      </c>
      <c r="O150">
        <v>3932</v>
      </c>
      <c r="P150">
        <v>17</v>
      </c>
      <c r="Q150">
        <v>16</v>
      </c>
      <c r="R150">
        <v>8</v>
      </c>
      <c r="S150">
        <v>36</v>
      </c>
      <c r="T150">
        <v>41</v>
      </c>
      <c r="U150">
        <v>11</v>
      </c>
      <c r="V150">
        <v>14</v>
      </c>
      <c r="W150">
        <v>5</v>
      </c>
      <c r="X150">
        <v>11</v>
      </c>
      <c r="Y150">
        <v>2573</v>
      </c>
      <c r="Z150">
        <v>2543</v>
      </c>
      <c r="AA150">
        <v>9772</v>
      </c>
    </row>
    <row r="151" spans="1:27" x14ac:dyDescent="0.25">
      <c r="A151" s="23">
        <v>45017</v>
      </c>
      <c r="B151" s="24" t="str">
        <f>VLOOKUP($J151,Sheet2!$A$2:$E$46,5,0)</f>
        <v>WF-7</v>
      </c>
      <c r="J151" t="s">
        <v>91</v>
      </c>
      <c r="L151">
        <v>116</v>
      </c>
      <c r="M151">
        <v>136</v>
      </c>
      <c r="N151">
        <v>131</v>
      </c>
      <c r="O151">
        <v>2927</v>
      </c>
      <c r="P151">
        <v>25</v>
      </c>
      <c r="Q151">
        <v>12</v>
      </c>
      <c r="R151">
        <v>36</v>
      </c>
      <c r="S151">
        <v>41</v>
      </c>
      <c r="T151">
        <v>112</v>
      </c>
      <c r="U151">
        <v>3</v>
      </c>
      <c r="V151">
        <v>0</v>
      </c>
      <c r="W151">
        <v>1</v>
      </c>
      <c r="X151">
        <v>9</v>
      </c>
      <c r="Y151">
        <v>1936</v>
      </c>
      <c r="Z151">
        <v>1918</v>
      </c>
      <c r="AA151">
        <v>8276</v>
      </c>
    </row>
    <row r="152" spans="1:27" x14ac:dyDescent="0.25">
      <c r="A152" s="23">
        <v>45017</v>
      </c>
      <c r="B152" s="24" t="str">
        <f>VLOOKUP($J152,Sheet2!$A$2:$E$46,5,0)</f>
        <v>WF-4</v>
      </c>
      <c r="J152" t="s">
        <v>47</v>
      </c>
      <c r="L152">
        <v>2172</v>
      </c>
      <c r="M152">
        <v>2188</v>
      </c>
      <c r="N152">
        <v>1207</v>
      </c>
      <c r="O152">
        <v>6157</v>
      </c>
      <c r="P152">
        <v>385</v>
      </c>
      <c r="Q152">
        <v>1249</v>
      </c>
      <c r="R152">
        <v>387</v>
      </c>
      <c r="S152">
        <v>574</v>
      </c>
      <c r="T152">
        <v>1193</v>
      </c>
      <c r="U152">
        <v>168</v>
      </c>
      <c r="V152">
        <v>238</v>
      </c>
      <c r="W152">
        <v>284</v>
      </c>
      <c r="X152">
        <v>501</v>
      </c>
      <c r="Y152">
        <v>4405</v>
      </c>
      <c r="Z152">
        <v>4329</v>
      </c>
      <c r="AA152">
        <v>14348</v>
      </c>
    </row>
    <row r="153" spans="1:27" x14ac:dyDescent="0.25">
      <c r="A153" s="23">
        <v>45017</v>
      </c>
      <c r="B153" s="24" t="str">
        <f>VLOOKUP($J153,Sheet2!$A$2:$E$46,5,0)</f>
        <v>WF-3</v>
      </c>
      <c r="J153" t="s">
        <v>49</v>
      </c>
      <c r="L153">
        <v>2045</v>
      </c>
      <c r="M153">
        <v>2077</v>
      </c>
      <c r="N153">
        <v>357</v>
      </c>
      <c r="O153">
        <v>3990</v>
      </c>
      <c r="P153">
        <v>16</v>
      </c>
      <c r="Q153">
        <v>64</v>
      </c>
      <c r="R153">
        <v>97</v>
      </c>
      <c r="S153">
        <v>1873</v>
      </c>
      <c r="T153">
        <v>338</v>
      </c>
      <c r="U153">
        <v>15</v>
      </c>
      <c r="V153">
        <v>61</v>
      </c>
      <c r="W153">
        <v>36</v>
      </c>
      <c r="X153">
        <v>223</v>
      </c>
      <c r="Y153">
        <v>2547</v>
      </c>
      <c r="Z153">
        <v>2498</v>
      </c>
      <c r="AA153">
        <v>11058</v>
      </c>
    </row>
    <row r="154" spans="1:27" x14ac:dyDescent="0.25">
      <c r="A154" s="23">
        <v>45017</v>
      </c>
      <c r="B154" s="24" t="str">
        <f>VLOOKUP($J154,Sheet2!$A$2:$E$46,5,0)</f>
        <v>WF-4</v>
      </c>
      <c r="J154" t="s">
        <v>51</v>
      </c>
      <c r="L154">
        <v>1007</v>
      </c>
      <c r="M154">
        <v>1018</v>
      </c>
      <c r="N154">
        <v>91</v>
      </c>
      <c r="O154">
        <v>3473</v>
      </c>
      <c r="P154">
        <v>48</v>
      </c>
      <c r="Q154">
        <v>23</v>
      </c>
      <c r="R154">
        <v>16</v>
      </c>
      <c r="S154">
        <v>921</v>
      </c>
      <c r="T154">
        <v>90</v>
      </c>
      <c r="U154">
        <v>41</v>
      </c>
      <c r="V154">
        <v>20</v>
      </c>
      <c r="W154">
        <v>11</v>
      </c>
      <c r="X154">
        <v>18</v>
      </c>
      <c r="Y154">
        <v>2617</v>
      </c>
      <c r="Z154">
        <v>2605</v>
      </c>
      <c r="AA154">
        <v>10459</v>
      </c>
    </row>
    <row r="155" spans="1:27" x14ac:dyDescent="0.25">
      <c r="A155" s="23">
        <v>45017</v>
      </c>
      <c r="B155" s="24" t="str">
        <f>VLOOKUP($J155,Sheet2!$A$2:$E$46,5,0)</f>
        <v>WF-5</v>
      </c>
      <c r="J155" t="s">
        <v>59</v>
      </c>
      <c r="L155">
        <v>272</v>
      </c>
      <c r="M155">
        <v>275</v>
      </c>
      <c r="N155">
        <v>95</v>
      </c>
      <c r="O155">
        <v>875</v>
      </c>
      <c r="P155">
        <v>17</v>
      </c>
      <c r="Q155">
        <v>23</v>
      </c>
      <c r="R155">
        <v>207</v>
      </c>
      <c r="S155">
        <v>42</v>
      </c>
      <c r="T155">
        <v>93</v>
      </c>
      <c r="U155">
        <v>16</v>
      </c>
      <c r="V155">
        <v>23</v>
      </c>
      <c r="W155">
        <v>27</v>
      </c>
      <c r="X155">
        <v>27</v>
      </c>
      <c r="Y155">
        <v>591</v>
      </c>
      <c r="Z155">
        <v>584</v>
      </c>
      <c r="AA155">
        <v>2032</v>
      </c>
    </row>
    <row r="156" spans="1:27" x14ac:dyDescent="0.25">
      <c r="A156" s="23">
        <v>45017</v>
      </c>
      <c r="B156" s="24" t="str">
        <f>VLOOKUP($J156,Sheet2!$A$2:$E$46,5,0)</f>
        <v>WF-7</v>
      </c>
      <c r="J156" t="s">
        <v>99</v>
      </c>
      <c r="L156">
        <v>1745</v>
      </c>
      <c r="M156">
        <v>1799</v>
      </c>
      <c r="N156">
        <v>546</v>
      </c>
      <c r="O156">
        <v>5708</v>
      </c>
      <c r="P156">
        <v>100</v>
      </c>
      <c r="Q156">
        <v>177</v>
      </c>
      <c r="R156">
        <v>1097</v>
      </c>
      <c r="S156">
        <v>492</v>
      </c>
      <c r="T156">
        <v>528</v>
      </c>
      <c r="U156">
        <v>56</v>
      </c>
      <c r="V156">
        <v>102</v>
      </c>
      <c r="W156">
        <v>121</v>
      </c>
      <c r="X156">
        <v>248</v>
      </c>
      <c r="Y156">
        <v>3955</v>
      </c>
      <c r="Z156">
        <v>3913</v>
      </c>
      <c r="AA156">
        <v>15839</v>
      </c>
    </row>
    <row r="157" spans="1:27" x14ac:dyDescent="0.25">
      <c r="A157" s="23">
        <v>45017</v>
      </c>
      <c r="B157" s="24" t="str">
        <f>VLOOKUP($J157,Sheet2!$A$2:$E$46,5,0)</f>
        <v>WF-7</v>
      </c>
      <c r="J157" t="s">
        <v>93</v>
      </c>
      <c r="L157">
        <v>172</v>
      </c>
      <c r="M157">
        <v>230</v>
      </c>
      <c r="N157">
        <v>222</v>
      </c>
      <c r="O157">
        <v>2913</v>
      </c>
      <c r="P157">
        <v>24</v>
      </c>
      <c r="Q157">
        <v>50</v>
      </c>
      <c r="R157">
        <v>33</v>
      </c>
      <c r="S157">
        <v>63</v>
      </c>
      <c r="T157">
        <v>166</v>
      </c>
      <c r="U157">
        <v>23</v>
      </c>
      <c r="V157">
        <v>23</v>
      </c>
      <c r="W157">
        <v>16</v>
      </c>
      <c r="X157">
        <v>53</v>
      </c>
      <c r="Y157">
        <v>2000</v>
      </c>
      <c r="Z157">
        <v>1981</v>
      </c>
      <c r="AA157">
        <v>7217</v>
      </c>
    </row>
    <row r="158" spans="1:27" x14ac:dyDescent="0.25">
      <c r="A158" s="23">
        <v>45017</v>
      </c>
      <c r="B158" s="24" t="str">
        <f>VLOOKUP($J158,Sheet2!$A$2:$E$46,5,0)</f>
        <v>WF-2</v>
      </c>
      <c r="J158" t="s">
        <v>35</v>
      </c>
      <c r="L158">
        <v>1745</v>
      </c>
      <c r="M158">
        <v>1782</v>
      </c>
      <c r="N158">
        <v>610</v>
      </c>
      <c r="O158">
        <v>3094</v>
      </c>
      <c r="P158">
        <v>206</v>
      </c>
      <c r="Q158">
        <v>605</v>
      </c>
      <c r="R158">
        <v>486</v>
      </c>
      <c r="S158">
        <v>576</v>
      </c>
      <c r="T158">
        <v>580</v>
      </c>
      <c r="U158">
        <v>47</v>
      </c>
      <c r="V158">
        <v>140</v>
      </c>
      <c r="W158">
        <v>193</v>
      </c>
      <c r="X158">
        <v>200</v>
      </c>
      <c r="Y158">
        <v>2029</v>
      </c>
      <c r="Z158">
        <v>1991</v>
      </c>
      <c r="AA158">
        <v>6769</v>
      </c>
    </row>
    <row r="159" spans="1:27" x14ac:dyDescent="0.25">
      <c r="A159" s="23">
        <v>45017</v>
      </c>
      <c r="B159" s="24" t="str">
        <f>VLOOKUP($J159,Sheet2!$A$2:$E$46,5,0)</f>
        <v>WF-6</v>
      </c>
      <c r="J159" t="s">
        <v>85</v>
      </c>
      <c r="L159">
        <v>12</v>
      </c>
      <c r="M159">
        <v>19</v>
      </c>
      <c r="N159">
        <v>3</v>
      </c>
      <c r="O159">
        <v>2391</v>
      </c>
      <c r="P159">
        <v>2</v>
      </c>
      <c r="Q159">
        <v>4</v>
      </c>
      <c r="R159">
        <v>3</v>
      </c>
      <c r="S159">
        <v>4</v>
      </c>
      <c r="T159">
        <v>3</v>
      </c>
      <c r="U159">
        <v>1</v>
      </c>
      <c r="V159">
        <v>1</v>
      </c>
      <c r="W159">
        <v>1</v>
      </c>
      <c r="X159">
        <v>0</v>
      </c>
      <c r="Y159">
        <v>1710</v>
      </c>
      <c r="Z159">
        <v>1704</v>
      </c>
      <c r="AA159">
        <v>6398</v>
      </c>
    </row>
    <row r="160" spans="1:27" x14ac:dyDescent="0.25">
      <c r="A160" s="23">
        <v>45017</v>
      </c>
      <c r="B160" s="24" t="str">
        <f>VLOOKUP($J160,Sheet2!$A$2:$E$46,5,0)</f>
        <v>WF-4</v>
      </c>
      <c r="J160" t="s">
        <v>71</v>
      </c>
      <c r="L160">
        <v>489</v>
      </c>
      <c r="M160">
        <v>751</v>
      </c>
      <c r="N160">
        <v>575</v>
      </c>
      <c r="O160">
        <v>2020</v>
      </c>
      <c r="P160">
        <v>154</v>
      </c>
      <c r="Q160">
        <v>44</v>
      </c>
      <c r="R160">
        <v>196</v>
      </c>
      <c r="S160">
        <v>119</v>
      </c>
      <c r="T160">
        <v>346</v>
      </c>
      <c r="U160">
        <v>108</v>
      </c>
      <c r="V160">
        <v>43</v>
      </c>
      <c r="W160">
        <v>120</v>
      </c>
      <c r="X160">
        <v>75</v>
      </c>
      <c r="Y160">
        <v>1358</v>
      </c>
      <c r="Z160">
        <v>1347</v>
      </c>
      <c r="AA160">
        <v>5091</v>
      </c>
    </row>
    <row r="161" spans="1:27" x14ac:dyDescent="0.25">
      <c r="A161" s="23">
        <v>45017</v>
      </c>
      <c r="B161" s="24" t="str">
        <f>VLOOKUP($J161,Sheet2!$A$2:$E$46,5,0)</f>
        <v>WF-6</v>
      </c>
      <c r="J161" t="s">
        <v>77</v>
      </c>
      <c r="L161">
        <v>1420</v>
      </c>
      <c r="M161">
        <v>1490</v>
      </c>
      <c r="N161">
        <v>929</v>
      </c>
      <c r="O161">
        <v>6031</v>
      </c>
      <c r="P161">
        <v>520</v>
      </c>
      <c r="Q161">
        <v>354</v>
      </c>
      <c r="R161">
        <v>380</v>
      </c>
      <c r="S161">
        <v>418</v>
      </c>
      <c r="T161">
        <v>915</v>
      </c>
      <c r="U161">
        <v>147</v>
      </c>
      <c r="V161">
        <v>239</v>
      </c>
      <c r="W161">
        <v>239</v>
      </c>
      <c r="X161">
        <v>288</v>
      </c>
      <c r="Y161">
        <v>4300</v>
      </c>
      <c r="Z161">
        <v>4243</v>
      </c>
      <c r="AA161">
        <v>16152</v>
      </c>
    </row>
    <row r="162" spans="1:27" x14ac:dyDescent="0.25">
      <c r="A162" s="23">
        <v>45017</v>
      </c>
      <c r="B162" s="24" t="str">
        <f>VLOOKUP($J162,Sheet2!$A$2:$E$46,5,0)</f>
        <v>WF-2</v>
      </c>
      <c r="J162" t="s">
        <v>41</v>
      </c>
      <c r="L162">
        <v>1063</v>
      </c>
      <c r="M162">
        <v>1232</v>
      </c>
      <c r="N162">
        <v>671</v>
      </c>
      <c r="O162">
        <v>3172</v>
      </c>
      <c r="P162">
        <v>578</v>
      </c>
      <c r="Q162">
        <v>311</v>
      </c>
      <c r="R162">
        <v>210</v>
      </c>
      <c r="S162">
        <v>69</v>
      </c>
      <c r="T162">
        <v>649</v>
      </c>
      <c r="U162">
        <v>241</v>
      </c>
      <c r="V162">
        <v>210</v>
      </c>
      <c r="W162">
        <v>127</v>
      </c>
      <c r="X162">
        <v>70</v>
      </c>
      <c r="Y162">
        <v>2202</v>
      </c>
      <c r="Z162">
        <v>2177</v>
      </c>
      <c r="AA162">
        <v>8342</v>
      </c>
    </row>
    <row r="163" spans="1:27" x14ac:dyDescent="0.25">
      <c r="A163" s="23">
        <v>45017</v>
      </c>
      <c r="B163" s="24" t="str">
        <f>VLOOKUP($J163,Sheet2!$A$2:$E$46,5,0)</f>
        <v>WF-5</v>
      </c>
      <c r="J163" t="s">
        <v>55</v>
      </c>
      <c r="L163">
        <v>23</v>
      </c>
      <c r="M163">
        <v>26</v>
      </c>
      <c r="N163">
        <v>18</v>
      </c>
      <c r="O163">
        <v>2498</v>
      </c>
      <c r="P163">
        <v>7</v>
      </c>
      <c r="Q163">
        <v>5</v>
      </c>
      <c r="R163">
        <v>8</v>
      </c>
      <c r="S163">
        <v>4</v>
      </c>
      <c r="T163">
        <v>17</v>
      </c>
      <c r="U163">
        <v>6</v>
      </c>
      <c r="V163">
        <v>2</v>
      </c>
      <c r="W163">
        <v>6</v>
      </c>
      <c r="X163">
        <v>3</v>
      </c>
      <c r="Y163">
        <v>1754</v>
      </c>
      <c r="Z163">
        <v>1749</v>
      </c>
      <c r="AA163">
        <v>6804</v>
      </c>
    </row>
    <row r="164" spans="1:27" x14ac:dyDescent="0.25">
      <c r="A164" s="23">
        <v>45017</v>
      </c>
      <c r="B164" s="24" t="str">
        <f>VLOOKUP($J164,Sheet2!$A$2:$E$46,5,0)</f>
        <v>WF-5</v>
      </c>
      <c r="J164" t="s">
        <v>65</v>
      </c>
      <c r="L164">
        <v>95</v>
      </c>
      <c r="M164">
        <v>100</v>
      </c>
      <c r="N164">
        <v>29</v>
      </c>
      <c r="O164">
        <v>2463</v>
      </c>
      <c r="P164">
        <v>29</v>
      </c>
      <c r="Q164">
        <v>15</v>
      </c>
      <c r="R164">
        <v>3</v>
      </c>
      <c r="S164">
        <v>49</v>
      </c>
      <c r="T164">
        <v>27</v>
      </c>
      <c r="U164">
        <v>6</v>
      </c>
      <c r="V164">
        <v>8</v>
      </c>
      <c r="W164">
        <v>3</v>
      </c>
      <c r="X164">
        <v>10</v>
      </c>
      <c r="Y164">
        <v>1628</v>
      </c>
      <c r="Z164">
        <v>1621</v>
      </c>
      <c r="AA164">
        <v>5725</v>
      </c>
    </row>
    <row r="165" spans="1:27" x14ac:dyDescent="0.25">
      <c r="A165" s="23">
        <v>45017</v>
      </c>
      <c r="B165" s="24" t="str">
        <f>VLOOKUP($J165,Sheet2!$A$2:$E$46,5,0)</f>
        <v>WF-1</v>
      </c>
      <c r="J165" t="s">
        <v>89</v>
      </c>
      <c r="L165">
        <v>281</v>
      </c>
      <c r="M165">
        <v>337</v>
      </c>
      <c r="N165">
        <v>127</v>
      </c>
      <c r="O165">
        <v>2707</v>
      </c>
      <c r="P165">
        <v>20</v>
      </c>
      <c r="Q165">
        <v>8</v>
      </c>
      <c r="R165">
        <v>239</v>
      </c>
      <c r="S165">
        <v>15</v>
      </c>
      <c r="T165">
        <v>70</v>
      </c>
      <c r="U165">
        <v>17</v>
      </c>
      <c r="V165">
        <v>7</v>
      </c>
      <c r="W165">
        <v>31</v>
      </c>
      <c r="X165">
        <v>15</v>
      </c>
      <c r="Y165">
        <v>2034</v>
      </c>
      <c r="Z165">
        <v>2020</v>
      </c>
      <c r="AA165">
        <v>7428</v>
      </c>
    </row>
    <row r="166" spans="1:27" x14ac:dyDescent="0.25">
      <c r="A166" s="23">
        <v>45017</v>
      </c>
      <c r="B166" s="24" t="str">
        <f>VLOOKUP($J166,Sheet2!$A$2:$E$46,5,0)</f>
        <v>WF-2</v>
      </c>
      <c r="J166" t="s">
        <v>33</v>
      </c>
      <c r="L166">
        <v>1914</v>
      </c>
      <c r="M166">
        <v>1939</v>
      </c>
      <c r="N166">
        <v>776</v>
      </c>
      <c r="O166">
        <v>5615</v>
      </c>
      <c r="P166">
        <v>729</v>
      </c>
      <c r="Q166">
        <v>666</v>
      </c>
      <c r="R166">
        <v>404</v>
      </c>
      <c r="S166">
        <v>279</v>
      </c>
      <c r="T166">
        <v>760</v>
      </c>
      <c r="U166">
        <v>168</v>
      </c>
      <c r="V166">
        <v>231</v>
      </c>
      <c r="W166">
        <v>203</v>
      </c>
      <c r="X166">
        <v>158</v>
      </c>
      <c r="Y166">
        <v>3567</v>
      </c>
      <c r="Z166">
        <v>3520</v>
      </c>
      <c r="AA166">
        <v>13167</v>
      </c>
    </row>
    <row r="167" spans="1:27" x14ac:dyDescent="0.25">
      <c r="A167" s="23">
        <v>45017</v>
      </c>
      <c r="B167" s="24" t="str">
        <f>VLOOKUP($J167,Sheet2!$A$2:$E$46,5,0)</f>
        <v>WF-6</v>
      </c>
      <c r="J167" t="s">
        <v>103</v>
      </c>
      <c r="L167">
        <v>101</v>
      </c>
      <c r="M167">
        <v>348</v>
      </c>
      <c r="N167">
        <v>343</v>
      </c>
      <c r="O167">
        <v>3755</v>
      </c>
      <c r="P167">
        <v>26</v>
      </c>
      <c r="Q167">
        <v>26</v>
      </c>
      <c r="R167">
        <v>23</v>
      </c>
      <c r="S167">
        <v>29</v>
      </c>
      <c r="T167">
        <v>99</v>
      </c>
      <c r="U167">
        <v>25</v>
      </c>
      <c r="V167">
        <v>22</v>
      </c>
      <c r="W167">
        <v>24</v>
      </c>
      <c r="X167">
        <v>28</v>
      </c>
      <c r="Y167">
        <v>2529</v>
      </c>
      <c r="Z167">
        <v>2505</v>
      </c>
      <c r="AA167">
        <v>9034</v>
      </c>
    </row>
    <row r="168" spans="1:27" x14ac:dyDescent="0.25">
      <c r="A168" s="23">
        <v>45017</v>
      </c>
      <c r="B168" s="24" t="str">
        <f>VLOOKUP($J168,Sheet2!$A$2:$E$46,5,0)</f>
        <v>WF-4</v>
      </c>
      <c r="J168" t="s">
        <v>63</v>
      </c>
      <c r="L168">
        <v>820</v>
      </c>
      <c r="M168">
        <v>872</v>
      </c>
      <c r="N168">
        <v>416</v>
      </c>
      <c r="O168">
        <v>3136</v>
      </c>
      <c r="P168">
        <v>306</v>
      </c>
      <c r="Q168">
        <v>81</v>
      </c>
      <c r="R168">
        <v>433</v>
      </c>
      <c r="S168">
        <v>73</v>
      </c>
      <c r="T168">
        <v>369</v>
      </c>
      <c r="U168">
        <v>121</v>
      </c>
      <c r="V168">
        <v>32</v>
      </c>
      <c r="W168">
        <v>145</v>
      </c>
      <c r="X168">
        <v>71</v>
      </c>
      <c r="Y168">
        <v>2214</v>
      </c>
      <c r="Z168">
        <v>2161</v>
      </c>
      <c r="AA168">
        <v>7944</v>
      </c>
    </row>
    <row r="169" spans="1:27" x14ac:dyDescent="0.25">
      <c r="A169" s="23">
        <v>45017</v>
      </c>
      <c r="B169" s="24" t="str">
        <f>VLOOKUP($J169,Sheet2!$A$2:$E$46,5,0)</f>
        <v>WF-1</v>
      </c>
      <c r="J169" t="s">
        <v>39</v>
      </c>
      <c r="L169">
        <v>602</v>
      </c>
      <c r="M169">
        <v>656</v>
      </c>
      <c r="N169">
        <v>389</v>
      </c>
      <c r="O169">
        <v>3485</v>
      </c>
      <c r="P169">
        <v>102</v>
      </c>
      <c r="Q169">
        <v>76</v>
      </c>
      <c r="R169">
        <v>107</v>
      </c>
      <c r="S169">
        <v>332</v>
      </c>
      <c r="T169">
        <v>347</v>
      </c>
      <c r="U169">
        <v>90</v>
      </c>
      <c r="V169">
        <v>59</v>
      </c>
      <c r="W169">
        <v>88</v>
      </c>
      <c r="X169">
        <v>109</v>
      </c>
      <c r="Y169">
        <v>2422</v>
      </c>
      <c r="Z169">
        <v>2378</v>
      </c>
      <c r="AA169">
        <v>8576</v>
      </c>
    </row>
    <row r="170" spans="1:27" x14ac:dyDescent="0.25">
      <c r="A170" s="23">
        <v>45017</v>
      </c>
      <c r="B170" s="24" t="str">
        <f>VLOOKUP($J170,Sheet2!$A$2:$E$46,5,0)</f>
        <v>WF-5</v>
      </c>
      <c r="J170" t="s">
        <v>67</v>
      </c>
      <c r="L170">
        <v>1219</v>
      </c>
      <c r="M170">
        <v>1453</v>
      </c>
      <c r="N170">
        <v>1033</v>
      </c>
      <c r="O170">
        <v>5441</v>
      </c>
      <c r="P170">
        <v>652</v>
      </c>
      <c r="Q170">
        <v>327</v>
      </c>
      <c r="R170">
        <v>146</v>
      </c>
      <c r="S170">
        <v>156</v>
      </c>
      <c r="T170">
        <v>829</v>
      </c>
      <c r="U170">
        <v>359</v>
      </c>
      <c r="V170">
        <v>191</v>
      </c>
      <c r="W170">
        <v>135</v>
      </c>
      <c r="X170">
        <v>144</v>
      </c>
      <c r="Y170">
        <v>3461</v>
      </c>
      <c r="Z170">
        <v>3397</v>
      </c>
      <c r="AA170">
        <v>14938</v>
      </c>
    </row>
    <row r="171" spans="1:27" x14ac:dyDescent="0.25">
      <c r="A171" s="23">
        <v>45017</v>
      </c>
      <c r="B171" s="24" t="str">
        <f>VLOOKUP($J171,Sheet2!$A$2:$E$46,5,0)</f>
        <v>WF-7</v>
      </c>
      <c r="J171" t="s">
        <v>95</v>
      </c>
      <c r="L171">
        <v>1277</v>
      </c>
      <c r="M171">
        <v>1283</v>
      </c>
      <c r="N171">
        <v>42</v>
      </c>
      <c r="O171">
        <v>2198</v>
      </c>
      <c r="P171">
        <v>6</v>
      </c>
      <c r="Q171">
        <v>4</v>
      </c>
      <c r="R171">
        <v>1265</v>
      </c>
      <c r="S171">
        <v>7</v>
      </c>
      <c r="T171">
        <v>37</v>
      </c>
      <c r="U171">
        <v>5</v>
      </c>
      <c r="V171">
        <v>4</v>
      </c>
      <c r="W171">
        <v>15</v>
      </c>
      <c r="X171">
        <v>6</v>
      </c>
      <c r="Y171">
        <v>1608</v>
      </c>
      <c r="Z171">
        <v>1604</v>
      </c>
      <c r="AA171">
        <v>6400</v>
      </c>
    </row>
    <row r="172" spans="1:27" x14ac:dyDescent="0.25">
      <c r="A172" s="23">
        <v>45017</v>
      </c>
      <c r="B172" s="24" t="str">
        <f>VLOOKUP($J172,Sheet2!$A$2:$E$46,5,0)</f>
        <v>WF-1</v>
      </c>
      <c r="J172" t="s">
        <v>101</v>
      </c>
      <c r="L172">
        <v>580</v>
      </c>
      <c r="M172">
        <v>593</v>
      </c>
      <c r="N172">
        <v>208</v>
      </c>
      <c r="O172">
        <v>1708</v>
      </c>
      <c r="P172">
        <v>500</v>
      </c>
      <c r="Q172">
        <v>102</v>
      </c>
      <c r="R172">
        <v>42</v>
      </c>
      <c r="S172">
        <v>24</v>
      </c>
      <c r="T172">
        <v>195</v>
      </c>
      <c r="U172">
        <v>35</v>
      </c>
      <c r="V172">
        <v>100</v>
      </c>
      <c r="W172">
        <v>41</v>
      </c>
      <c r="X172">
        <v>18</v>
      </c>
      <c r="Y172">
        <v>1302</v>
      </c>
      <c r="Z172">
        <v>1296</v>
      </c>
      <c r="AA172">
        <v>4366</v>
      </c>
    </row>
    <row r="173" spans="1:27" x14ac:dyDescent="0.25">
      <c r="A173" s="23">
        <v>45017</v>
      </c>
      <c r="B173" s="24" t="str">
        <f>VLOOKUP($J173,Sheet2!$A$2:$E$46,5,0)</f>
        <v>WF-4</v>
      </c>
      <c r="J173" t="s">
        <v>53</v>
      </c>
      <c r="L173">
        <v>341</v>
      </c>
      <c r="M173">
        <v>356</v>
      </c>
      <c r="N173">
        <v>215</v>
      </c>
      <c r="O173">
        <v>2347</v>
      </c>
      <c r="P173">
        <v>78</v>
      </c>
      <c r="Q173">
        <v>196</v>
      </c>
      <c r="R173">
        <v>36</v>
      </c>
      <c r="S173">
        <v>40</v>
      </c>
      <c r="T173">
        <v>206</v>
      </c>
      <c r="U173">
        <v>77</v>
      </c>
      <c r="V173">
        <v>71</v>
      </c>
      <c r="W173">
        <v>34</v>
      </c>
      <c r="X173">
        <v>24</v>
      </c>
      <c r="Y173">
        <v>1683</v>
      </c>
      <c r="Z173">
        <v>1664</v>
      </c>
      <c r="AA173">
        <v>7130</v>
      </c>
    </row>
    <row r="174" spans="1:27" x14ac:dyDescent="0.25">
      <c r="A174" s="23">
        <v>45017</v>
      </c>
      <c r="B174" s="24" t="str">
        <f>VLOOKUP($J174,Sheet2!$A$2:$E$46,5,0)</f>
        <v>WF-1</v>
      </c>
      <c r="J174" t="s">
        <v>37</v>
      </c>
      <c r="L174">
        <v>157</v>
      </c>
      <c r="M174">
        <v>264</v>
      </c>
      <c r="N174">
        <v>260</v>
      </c>
      <c r="O174">
        <v>1576</v>
      </c>
      <c r="P174">
        <v>27</v>
      </c>
      <c r="Q174">
        <v>53</v>
      </c>
      <c r="R174">
        <v>33</v>
      </c>
      <c r="S174">
        <v>42</v>
      </c>
      <c r="T174">
        <v>155</v>
      </c>
      <c r="U174">
        <v>27</v>
      </c>
      <c r="V174">
        <v>44</v>
      </c>
      <c r="W174">
        <v>11</v>
      </c>
      <c r="X174">
        <v>34</v>
      </c>
      <c r="Y174">
        <v>961</v>
      </c>
      <c r="Z174">
        <v>959</v>
      </c>
      <c r="AA174">
        <v>3842</v>
      </c>
    </row>
    <row r="175" spans="1:27" x14ac:dyDescent="0.25">
      <c r="A175" s="23">
        <v>45017</v>
      </c>
      <c r="B175" s="24" t="str">
        <f>VLOOKUP($J175,Sheet2!$A$2:$E$46,5,0)</f>
        <v>WF-5</v>
      </c>
      <c r="J175" t="s">
        <v>61</v>
      </c>
      <c r="L175">
        <v>407</v>
      </c>
      <c r="M175">
        <v>412</v>
      </c>
      <c r="N175">
        <v>77</v>
      </c>
      <c r="O175">
        <v>1508</v>
      </c>
      <c r="P175">
        <v>7</v>
      </c>
      <c r="Q175">
        <v>8</v>
      </c>
      <c r="R175">
        <v>370</v>
      </c>
      <c r="S175">
        <v>52</v>
      </c>
      <c r="T175">
        <v>77</v>
      </c>
      <c r="U175">
        <v>3</v>
      </c>
      <c r="V175">
        <v>5</v>
      </c>
      <c r="W175">
        <v>18</v>
      </c>
      <c r="X175">
        <v>51</v>
      </c>
      <c r="Y175">
        <v>970</v>
      </c>
      <c r="Z175">
        <v>956</v>
      </c>
      <c r="AA175">
        <v>4009</v>
      </c>
    </row>
    <row r="176" spans="1:27" x14ac:dyDescent="0.25">
      <c r="A176" s="23">
        <v>45017</v>
      </c>
      <c r="B176" s="24" t="str">
        <f>VLOOKUP($J176,Sheet2!$A$2:$E$46,5,0)</f>
        <v>WF-5</v>
      </c>
      <c r="J176" t="s">
        <v>69</v>
      </c>
      <c r="L176">
        <v>138</v>
      </c>
      <c r="M176">
        <v>144</v>
      </c>
      <c r="N176">
        <v>139</v>
      </c>
      <c r="O176">
        <v>1332</v>
      </c>
      <c r="P176">
        <v>42</v>
      </c>
      <c r="Q176">
        <v>30</v>
      </c>
      <c r="R176">
        <v>33</v>
      </c>
      <c r="S176">
        <v>35</v>
      </c>
      <c r="T176">
        <v>135</v>
      </c>
      <c r="U176">
        <v>38</v>
      </c>
      <c r="V176">
        <v>30</v>
      </c>
      <c r="W176">
        <v>33</v>
      </c>
      <c r="X176">
        <v>34</v>
      </c>
      <c r="Y176">
        <v>899</v>
      </c>
      <c r="Z176">
        <v>882</v>
      </c>
      <c r="AA176">
        <v>3447</v>
      </c>
    </row>
    <row r="177" spans="1:27" x14ac:dyDescent="0.25">
      <c r="A177" s="23">
        <v>45017</v>
      </c>
      <c r="B177" s="24" t="str">
        <f>VLOOKUP($J177,Sheet2!$A$2:$E$46,5,0)</f>
        <v>WF-6</v>
      </c>
      <c r="J177" t="s">
        <v>79</v>
      </c>
      <c r="L177">
        <v>93</v>
      </c>
      <c r="M177">
        <v>102</v>
      </c>
      <c r="N177">
        <v>84</v>
      </c>
      <c r="O177">
        <v>1176</v>
      </c>
      <c r="P177">
        <v>31</v>
      </c>
      <c r="Q177">
        <v>33</v>
      </c>
      <c r="R177">
        <v>8</v>
      </c>
      <c r="S177">
        <v>21</v>
      </c>
      <c r="T177">
        <v>80</v>
      </c>
      <c r="U177">
        <v>31</v>
      </c>
      <c r="V177">
        <v>32</v>
      </c>
      <c r="W177">
        <v>8</v>
      </c>
      <c r="X177">
        <v>9</v>
      </c>
      <c r="Y177">
        <v>722</v>
      </c>
      <c r="Z177">
        <v>709</v>
      </c>
      <c r="AA177">
        <v>2843</v>
      </c>
    </row>
    <row r="178" spans="1:27" x14ac:dyDescent="0.25">
      <c r="A178" s="23">
        <v>45017</v>
      </c>
      <c r="B178" s="24" t="str">
        <f>VLOOKUP($J178,Sheet2!$A$2:$E$46,5,0)</f>
        <v>WF-4</v>
      </c>
      <c r="J178" t="s">
        <v>57</v>
      </c>
      <c r="L178">
        <v>271</v>
      </c>
      <c r="M178">
        <v>278</v>
      </c>
      <c r="N178">
        <v>196</v>
      </c>
      <c r="O178">
        <v>1226</v>
      </c>
      <c r="P178">
        <v>190</v>
      </c>
      <c r="Q178">
        <v>37</v>
      </c>
      <c r="R178">
        <v>43</v>
      </c>
      <c r="S178">
        <v>19</v>
      </c>
      <c r="T178">
        <v>191</v>
      </c>
      <c r="U178">
        <v>95</v>
      </c>
      <c r="V178">
        <v>36</v>
      </c>
      <c r="W178">
        <v>43</v>
      </c>
      <c r="X178">
        <v>17</v>
      </c>
      <c r="Y178">
        <v>816</v>
      </c>
      <c r="Z178">
        <v>805</v>
      </c>
      <c r="AA178">
        <v>3433</v>
      </c>
    </row>
    <row r="179" spans="1:27" x14ac:dyDescent="0.25">
      <c r="A179" s="23">
        <v>45017</v>
      </c>
      <c r="B179" s="24" t="str">
        <f>VLOOKUP($J179,Sheet2!$A$2:$E$46,5,0)</f>
        <v>WF-2</v>
      </c>
      <c r="J179" t="s">
        <v>31</v>
      </c>
      <c r="L179">
        <v>716</v>
      </c>
      <c r="M179">
        <v>744</v>
      </c>
      <c r="N179">
        <v>503</v>
      </c>
      <c r="O179">
        <v>3762</v>
      </c>
      <c r="P179">
        <v>193</v>
      </c>
      <c r="Q179">
        <v>247</v>
      </c>
      <c r="R179">
        <v>137</v>
      </c>
      <c r="S179">
        <v>206</v>
      </c>
      <c r="T179">
        <v>483</v>
      </c>
      <c r="U179">
        <v>98</v>
      </c>
      <c r="V179">
        <v>164</v>
      </c>
      <c r="W179">
        <v>73</v>
      </c>
      <c r="X179">
        <v>148</v>
      </c>
      <c r="Y179">
        <v>2325</v>
      </c>
      <c r="Z179">
        <v>2296</v>
      </c>
      <c r="AA179">
        <v>9697</v>
      </c>
    </row>
    <row r="180" spans="1:27" x14ac:dyDescent="0.25">
      <c r="A180" s="23">
        <v>45017</v>
      </c>
      <c r="B180" s="24" t="str">
        <f>VLOOKUP($J180,Sheet2!$A$2:$E$46,5,0)</f>
        <v>WF-1</v>
      </c>
      <c r="J180" t="s">
        <v>97</v>
      </c>
      <c r="L180">
        <v>325</v>
      </c>
      <c r="M180">
        <v>359</v>
      </c>
      <c r="N180">
        <v>178</v>
      </c>
      <c r="O180">
        <v>2557</v>
      </c>
      <c r="P180">
        <v>22</v>
      </c>
      <c r="Q180">
        <v>37</v>
      </c>
      <c r="R180">
        <v>234</v>
      </c>
      <c r="S180">
        <v>38</v>
      </c>
      <c r="T180">
        <v>144</v>
      </c>
      <c r="U180">
        <v>20</v>
      </c>
      <c r="V180">
        <v>32</v>
      </c>
      <c r="W180">
        <v>57</v>
      </c>
      <c r="X180">
        <v>33</v>
      </c>
      <c r="Y180">
        <v>1718</v>
      </c>
      <c r="Z180">
        <v>1708</v>
      </c>
      <c r="AA180">
        <v>6598</v>
      </c>
    </row>
    <row r="181" spans="1:27" x14ac:dyDescent="0.25">
      <c r="A181" s="23">
        <v>45017</v>
      </c>
      <c r="B181" s="24" t="str">
        <f>VLOOKUP($J181,Sheet2!$A$2:$E$46,5,0)</f>
        <v>Total</v>
      </c>
      <c r="J181" t="s">
        <v>107</v>
      </c>
      <c r="L181">
        <v>23443</v>
      </c>
      <c r="M181">
        <v>25393</v>
      </c>
      <c r="N181">
        <v>11212</v>
      </c>
      <c r="O181">
        <v>104789</v>
      </c>
      <c r="P181">
        <v>5498</v>
      </c>
      <c r="Q181">
        <v>5465</v>
      </c>
      <c r="R181">
        <v>7328</v>
      </c>
      <c r="S181">
        <v>6874</v>
      </c>
      <c r="T181">
        <v>9864</v>
      </c>
      <c r="U181">
        <v>2234</v>
      </c>
      <c r="V181">
        <v>2325</v>
      </c>
      <c r="W181">
        <v>2247</v>
      </c>
      <c r="X181">
        <v>2805</v>
      </c>
      <c r="Y181">
        <v>71477</v>
      </c>
      <c r="Z181">
        <v>70655</v>
      </c>
      <c r="AA181">
        <v>272148</v>
      </c>
    </row>
    <row r="182" spans="1:27" x14ac:dyDescent="0.25">
      <c r="A182" s="23">
        <v>45017</v>
      </c>
      <c r="B182" s="24" t="str">
        <f>VLOOKUP($J182,Sheet2!$A$2:$E$46,5,0)</f>
        <v>WF-1</v>
      </c>
      <c r="J182" t="s">
        <v>106</v>
      </c>
      <c r="L182">
        <v>49</v>
      </c>
      <c r="M182">
        <v>488</v>
      </c>
      <c r="N182">
        <v>362</v>
      </c>
      <c r="O182">
        <v>6867</v>
      </c>
      <c r="P182">
        <v>7</v>
      </c>
      <c r="Q182">
        <v>8</v>
      </c>
      <c r="R182">
        <v>16</v>
      </c>
      <c r="S182">
        <v>20</v>
      </c>
      <c r="T182">
        <v>303</v>
      </c>
      <c r="U182">
        <v>13</v>
      </c>
      <c r="V182">
        <v>80</v>
      </c>
      <c r="W182">
        <v>80</v>
      </c>
      <c r="X182">
        <v>0</v>
      </c>
      <c r="Y182">
        <v>5050</v>
      </c>
      <c r="Z182">
        <v>4583</v>
      </c>
      <c r="AA182">
        <v>15997</v>
      </c>
    </row>
    <row r="183" spans="1:27" x14ac:dyDescent="0.25">
      <c r="A183" s="23">
        <v>45017</v>
      </c>
      <c r="B183" s="24" t="str">
        <f>VLOOKUP($J183,Sheet2!$A$2:$E$46,5,0)</f>
        <v>WF-4</v>
      </c>
      <c r="J183" t="s">
        <v>75</v>
      </c>
      <c r="L183">
        <v>12</v>
      </c>
      <c r="M183">
        <v>100</v>
      </c>
      <c r="N183">
        <v>123</v>
      </c>
      <c r="O183">
        <v>4007</v>
      </c>
      <c r="P183">
        <v>5</v>
      </c>
      <c r="Q183">
        <v>5</v>
      </c>
      <c r="R183">
        <v>3</v>
      </c>
      <c r="S183">
        <v>1</v>
      </c>
      <c r="T183">
        <v>86</v>
      </c>
      <c r="U183">
        <v>51</v>
      </c>
      <c r="V183">
        <v>18</v>
      </c>
      <c r="W183">
        <v>5</v>
      </c>
      <c r="X183">
        <v>0</v>
      </c>
      <c r="Y183">
        <v>2701</v>
      </c>
      <c r="Z183">
        <v>2488</v>
      </c>
      <c r="AA183">
        <v>9785</v>
      </c>
    </row>
    <row r="184" spans="1:27" x14ac:dyDescent="0.25">
      <c r="A184" s="23">
        <v>45017</v>
      </c>
      <c r="B184" s="24" t="str">
        <f>VLOOKUP($J184,Sheet2!$A$2:$E$46,5,0)</f>
        <v>WF-1</v>
      </c>
      <c r="J184" t="s">
        <v>105</v>
      </c>
      <c r="L184">
        <v>9</v>
      </c>
      <c r="M184">
        <v>181</v>
      </c>
      <c r="N184">
        <v>213</v>
      </c>
      <c r="O184">
        <v>2835</v>
      </c>
      <c r="P184">
        <v>2</v>
      </c>
      <c r="Q184">
        <v>5</v>
      </c>
      <c r="R184">
        <v>1</v>
      </c>
      <c r="S184">
        <v>1</v>
      </c>
      <c r="T184">
        <v>148</v>
      </c>
      <c r="U184">
        <v>59</v>
      </c>
      <c r="V184">
        <v>41</v>
      </c>
      <c r="W184">
        <v>22</v>
      </c>
      <c r="X184">
        <v>0</v>
      </c>
      <c r="Y184">
        <v>2101</v>
      </c>
      <c r="Z184">
        <v>1955</v>
      </c>
      <c r="AA184">
        <v>7005</v>
      </c>
    </row>
    <row r="185" spans="1:27" x14ac:dyDescent="0.25">
      <c r="A185" s="23">
        <v>45017</v>
      </c>
      <c r="B185" s="24" t="str">
        <f>VLOOKUP($J185,Sheet2!$A$2:$E$46,5,0)</f>
        <v>WF-3</v>
      </c>
      <c r="J185" t="s">
        <v>73</v>
      </c>
      <c r="L185">
        <v>312</v>
      </c>
      <c r="M185">
        <v>1382</v>
      </c>
      <c r="N185">
        <v>424</v>
      </c>
      <c r="O185">
        <v>5637</v>
      </c>
      <c r="P185">
        <v>20</v>
      </c>
      <c r="Q185">
        <v>38</v>
      </c>
      <c r="R185">
        <v>20</v>
      </c>
      <c r="S185">
        <v>236</v>
      </c>
      <c r="T185">
        <v>386</v>
      </c>
      <c r="U185">
        <v>81</v>
      </c>
      <c r="V185">
        <v>108</v>
      </c>
      <c r="W185">
        <v>81</v>
      </c>
      <c r="X185">
        <v>0</v>
      </c>
      <c r="Y185">
        <v>4093</v>
      </c>
      <c r="Z185">
        <v>3727</v>
      </c>
      <c r="AA185">
        <v>15054</v>
      </c>
    </row>
    <row r="186" spans="1:27" x14ac:dyDescent="0.25">
      <c r="A186" s="23">
        <v>45017</v>
      </c>
      <c r="B186" s="24" t="str">
        <f>VLOOKUP($J186,Sheet2!$A$2:$E$46,5,0)</f>
        <v>WF-1</v>
      </c>
      <c r="J186" t="s">
        <v>43</v>
      </c>
      <c r="L186">
        <v>1</v>
      </c>
      <c r="M186">
        <v>33</v>
      </c>
      <c r="N186">
        <v>18</v>
      </c>
      <c r="O186">
        <v>2063</v>
      </c>
      <c r="R186">
        <v>1</v>
      </c>
      <c r="S186"/>
      <c r="T186">
        <v>10</v>
      </c>
      <c r="U186">
        <v>2</v>
      </c>
      <c r="V186">
        <v>1</v>
      </c>
      <c r="W186">
        <v>2</v>
      </c>
      <c r="X186">
        <v>0</v>
      </c>
      <c r="Y186">
        <v>1407</v>
      </c>
      <c r="Z186">
        <v>1327</v>
      </c>
      <c r="AA186">
        <v>4928</v>
      </c>
    </row>
    <row r="187" spans="1:27" x14ac:dyDescent="0.25">
      <c r="A187" s="23">
        <v>44652</v>
      </c>
      <c r="B187" s="24" t="e">
        <f>VLOOKUP($J187,Sheet2!$A$2:$E$46,5,0)</f>
        <v>#N/A</v>
      </c>
      <c r="R187"/>
      <c r="S187"/>
      <c r="W187"/>
      <c r="X187"/>
    </row>
    <row r="188" spans="1:27" x14ac:dyDescent="0.25">
      <c r="A188" s="23">
        <v>44652</v>
      </c>
      <c r="B188" s="24" t="e">
        <f>VLOOKUP($J188,Sheet2!$A$2:$E$46,5,0)</f>
        <v>#N/A</v>
      </c>
      <c r="R188"/>
      <c r="S188"/>
      <c r="W188"/>
      <c r="X188"/>
    </row>
    <row r="189" spans="1:27" ht="15.75" thickBot="1" x14ac:dyDescent="0.3">
      <c r="A189" s="23">
        <v>44652</v>
      </c>
      <c r="B189" s="24" t="e">
        <f>VLOOKUP($J189,Sheet2!$A$2:$E$46,5,0)</f>
        <v>#N/A</v>
      </c>
      <c r="R189"/>
      <c r="S189"/>
      <c r="W189"/>
      <c r="X189"/>
    </row>
    <row r="190" spans="1:27" x14ac:dyDescent="0.25">
      <c r="A190" s="23">
        <v>44652</v>
      </c>
      <c r="B190" s="24" t="e">
        <f>VLOOKUP(#REF!,Sheet2!$A$2:$E$46,5,0)</f>
        <v>#REF!</v>
      </c>
      <c r="C190" s="178"/>
      <c r="I190" s="179"/>
      <c r="R190"/>
      <c r="S190"/>
      <c r="W190"/>
      <c r="X190"/>
    </row>
    <row r="191" spans="1:27" x14ac:dyDescent="0.25">
      <c r="A191" s="23">
        <v>44652</v>
      </c>
      <c r="B191" s="24" t="e">
        <f>VLOOKUP(#REF!,Sheet2!$A$2:$E$46,5,0)</f>
        <v>#REF!</v>
      </c>
      <c r="C191" s="178"/>
      <c r="I191" s="180"/>
      <c r="R191"/>
      <c r="S191"/>
      <c r="W191"/>
      <c r="X191"/>
    </row>
    <row r="192" spans="1:27" x14ac:dyDescent="0.25">
      <c r="A192" s="23">
        <v>44652</v>
      </c>
      <c r="B192" s="24" t="e">
        <f>VLOOKUP(#REF!,Sheet2!$A$2:$E$46,5,0)</f>
        <v>#REF!</v>
      </c>
      <c r="C192" s="178"/>
      <c r="I192" s="180"/>
      <c r="R192"/>
      <c r="S192"/>
      <c r="W192"/>
      <c r="X192"/>
    </row>
    <row r="193" spans="1:24" x14ac:dyDescent="0.25">
      <c r="A193" s="23">
        <v>44652</v>
      </c>
      <c r="B193" s="24" t="e">
        <f>VLOOKUP(#REF!,Sheet2!$A$2:$E$46,5,0)</f>
        <v>#REF!</v>
      </c>
      <c r="C193" s="178"/>
      <c r="I193" s="180"/>
      <c r="R193"/>
      <c r="S193"/>
      <c r="W193"/>
      <c r="X193"/>
    </row>
    <row r="194" spans="1:24" ht="15.75" thickBot="1" x14ac:dyDescent="0.3">
      <c r="A194" s="23">
        <v>44652</v>
      </c>
      <c r="B194" s="24" t="e">
        <f>VLOOKUP(#REF!,Sheet2!$A$2:$E$46,5,0)</f>
        <v>#REF!</v>
      </c>
      <c r="C194" s="178"/>
      <c r="I194" s="181"/>
      <c r="R194"/>
      <c r="S194"/>
      <c r="W194"/>
      <c r="X194"/>
    </row>
    <row r="195" spans="1:24" x14ac:dyDescent="0.25">
      <c r="A195" s="23">
        <v>44652</v>
      </c>
      <c r="B195" s="24" t="e">
        <f>VLOOKUP(#REF!,Sheet2!$A$2:$E$46,5,0)</f>
        <v>#REF!</v>
      </c>
      <c r="C195" s="178"/>
      <c r="R195"/>
      <c r="S195"/>
      <c r="W195"/>
      <c r="X195"/>
    </row>
    <row r="196" spans="1:24" x14ac:dyDescent="0.25">
      <c r="A196" s="23">
        <v>44652</v>
      </c>
      <c r="B196" s="24" t="e">
        <f>VLOOKUP($J196,Sheet2!$A$2:$E$46,5,0)</f>
        <v>#N/A</v>
      </c>
      <c r="C196" s="178"/>
      <c r="R196"/>
      <c r="S196"/>
      <c r="W196"/>
      <c r="X196"/>
    </row>
    <row r="197" spans="1:24" x14ac:dyDescent="0.25">
      <c r="A197" s="23">
        <v>44652</v>
      </c>
      <c r="B197" s="24" t="e">
        <f>VLOOKUP($J197,Sheet2!$A$2:$E$46,5,0)</f>
        <v>#N/A</v>
      </c>
      <c r="C197" s="178"/>
      <c r="R197"/>
      <c r="S197"/>
      <c r="W197"/>
      <c r="X197"/>
    </row>
    <row r="198" spans="1:24" x14ac:dyDescent="0.25">
      <c r="A198" s="23">
        <v>44652</v>
      </c>
      <c r="B198" s="24" t="e">
        <f>VLOOKUP($J198,Sheet2!$A$2:$E$46,5,0)</f>
        <v>#N/A</v>
      </c>
      <c r="C198" s="178"/>
      <c r="R198"/>
      <c r="S198"/>
      <c r="W198"/>
      <c r="X198"/>
    </row>
    <row r="199" spans="1:24" x14ac:dyDescent="0.25">
      <c r="A199" s="23">
        <v>44652</v>
      </c>
      <c r="B199" s="24" t="e">
        <f>VLOOKUP($J199,Sheet2!$A$2:$E$46,5,0)</f>
        <v>#N/A</v>
      </c>
      <c r="C199" s="178"/>
      <c r="R199"/>
      <c r="S199"/>
      <c r="W199"/>
      <c r="X199"/>
    </row>
    <row r="200" spans="1:24" x14ac:dyDescent="0.25">
      <c r="A200" s="23">
        <v>44652</v>
      </c>
      <c r="B200" s="24" t="e">
        <f>VLOOKUP($J200,Sheet2!$A$2:$E$46,5,0)</f>
        <v>#N/A</v>
      </c>
      <c r="C200" s="178"/>
      <c r="R200"/>
      <c r="S200"/>
      <c r="W200"/>
      <c r="X200"/>
    </row>
    <row r="201" spans="1:24" x14ac:dyDescent="0.25">
      <c r="A201" s="23">
        <v>44652</v>
      </c>
      <c r="B201" s="24" t="e">
        <f>VLOOKUP($J201,Sheet2!$A$2:$E$46,5,0)</f>
        <v>#N/A</v>
      </c>
      <c r="C201" s="178"/>
      <c r="R201"/>
      <c r="S201"/>
      <c r="W201"/>
      <c r="X201"/>
    </row>
    <row r="202" spans="1:24" x14ac:dyDescent="0.25">
      <c r="A202" s="23">
        <v>44652</v>
      </c>
      <c r="B202" s="24" t="e">
        <f>VLOOKUP($J202,Sheet2!$A$2:$E$46,5,0)</f>
        <v>#N/A</v>
      </c>
      <c r="C202" s="178"/>
      <c r="R202"/>
      <c r="S202"/>
      <c r="W202"/>
      <c r="X202"/>
    </row>
    <row r="203" spans="1:24" x14ac:dyDescent="0.25">
      <c r="A203" s="23">
        <v>44652</v>
      </c>
      <c r="B203" s="24" t="e">
        <f>VLOOKUP($J203,Sheet2!$A$2:$E$46,5,0)</f>
        <v>#N/A</v>
      </c>
      <c r="R203"/>
      <c r="S203"/>
      <c r="W203"/>
      <c r="X203"/>
    </row>
    <row r="204" spans="1:24" x14ac:dyDescent="0.25">
      <c r="A204" s="23">
        <v>44652</v>
      </c>
      <c r="B204" s="24" t="e">
        <f>VLOOKUP($J204,Sheet2!$A$2:$E$46,5,0)</f>
        <v>#N/A</v>
      </c>
      <c r="R204"/>
      <c r="S204"/>
      <c r="W204"/>
      <c r="X204"/>
    </row>
    <row r="205" spans="1:24" x14ac:dyDescent="0.25">
      <c r="A205" s="23">
        <v>44652</v>
      </c>
      <c r="B205" s="24" t="e">
        <f>VLOOKUP($J205,Sheet2!$A$2:$E$46,5,0)</f>
        <v>#N/A</v>
      </c>
      <c r="R205"/>
      <c r="S205"/>
      <c r="W205"/>
      <c r="X205"/>
    </row>
    <row r="206" spans="1:24" x14ac:dyDescent="0.25">
      <c r="A206" s="23">
        <v>44652</v>
      </c>
      <c r="B206" s="24" t="e">
        <f>VLOOKUP($J206,Sheet2!$A$2:$E$46,5,0)</f>
        <v>#N/A</v>
      </c>
      <c r="R206"/>
      <c r="S206"/>
      <c r="W206"/>
      <c r="X206"/>
    </row>
    <row r="207" spans="1:24" x14ac:dyDescent="0.25">
      <c r="A207" s="23">
        <v>44652</v>
      </c>
      <c r="B207" s="24" t="e">
        <f>VLOOKUP($J207,Sheet2!$A$2:$E$46,5,0)</f>
        <v>#N/A</v>
      </c>
      <c r="R207"/>
      <c r="S207"/>
      <c r="W207"/>
      <c r="X207"/>
    </row>
    <row r="208" spans="1:24" x14ac:dyDescent="0.25">
      <c r="A208" s="23">
        <v>44652</v>
      </c>
      <c r="B208" s="24" t="e">
        <f>VLOOKUP($J208,Sheet2!$A$2:$E$46,5,0)</f>
        <v>#N/A</v>
      </c>
      <c r="R208"/>
      <c r="S208"/>
      <c r="W208"/>
      <c r="X208"/>
    </row>
    <row r="209" spans="1:24" x14ac:dyDescent="0.25">
      <c r="A209" s="23">
        <v>44652</v>
      </c>
      <c r="B209" s="24" t="e">
        <f>VLOOKUP($J209,Sheet2!$A$2:$E$46,5,0)</f>
        <v>#N/A</v>
      </c>
      <c r="R209"/>
      <c r="S209"/>
      <c r="W209"/>
      <c r="X209"/>
    </row>
    <row r="210" spans="1:24" x14ac:dyDescent="0.25">
      <c r="A210" s="23">
        <v>44652</v>
      </c>
      <c r="B210" s="24" t="e">
        <f>VLOOKUP($J210,Sheet2!$A$2:$E$46,5,0)</f>
        <v>#N/A</v>
      </c>
      <c r="R210"/>
      <c r="S210"/>
      <c r="W210"/>
      <c r="X210"/>
    </row>
    <row r="211" spans="1:24" x14ac:dyDescent="0.25">
      <c r="A211" s="23">
        <v>44652</v>
      </c>
      <c r="B211" s="24" t="e">
        <f>VLOOKUP($J211,Sheet2!$A$2:$E$46,5,0)</f>
        <v>#N/A</v>
      </c>
      <c r="R211"/>
      <c r="S211"/>
      <c r="W211"/>
      <c r="X211"/>
    </row>
    <row r="212" spans="1:24" x14ac:dyDescent="0.25">
      <c r="A212" s="23">
        <v>44652</v>
      </c>
      <c r="B212" s="24" t="e">
        <f>VLOOKUP($J212,Sheet2!$A$2:$E$46,5,0)</f>
        <v>#N/A</v>
      </c>
      <c r="R212"/>
      <c r="S212"/>
      <c r="W212"/>
      <c r="X212"/>
    </row>
    <row r="213" spans="1:24" x14ac:dyDescent="0.25">
      <c r="A213" s="23">
        <v>44652</v>
      </c>
      <c r="B213" s="24" t="e">
        <f>VLOOKUP($J213,Sheet2!$A$2:$E$46,5,0)</f>
        <v>#N/A</v>
      </c>
      <c r="R213"/>
      <c r="S213"/>
      <c r="W213"/>
      <c r="X213"/>
    </row>
    <row r="214" spans="1:24" x14ac:dyDescent="0.25">
      <c r="A214" s="23">
        <v>44652</v>
      </c>
      <c r="B214" s="24" t="e">
        <f>VLOOKUP($J214,Sheet2!$A$2:$E$46,5,0)</f>
        <v>#N/A</v>
      </c>
      <c r="R214"/>
      <c r="S214"/>
      <c r="W214"/>
      <c r="X214"/>
    </row>
    <row r="215" spans="1:24" x14ac:dyDescent="0.25">
      <c r="A215" s="23">
        <v>44652</v>
      </c>
      <c r="B215" s="24" t="e">
        <f>VLOOKUP($J215,Sheet2!$A$2:$E$46,5,0)</f>
        <v>#N/A</v>
      </c>
      <c r="R215"/>
      <c r="S215"/>
      <c r="W215"/>
      <c r="X215"/>
    </row>
    <row r="216" spans="1:24" x14ac:dyDescent="0.25">
      <c r="A216" s="23">
        <v>44652</v>
      </c>
      <c r="B216" s="24" t="e">
        <f>VLOOKUP($J216,Sheet2!$A$2:$E$46,5,0)</f>
        <v>#N/A</v>
      </c>
    </row>
    <row r="217" spans="1:24" x14ac:dyDescent="0.25">
      <c r="A217" s="23">
        <v>44652</v>
      </c>
      <c r="B217" s="24" t="e">
        <f>VLOOKUP($J217,Sheet2!$A$2:$E$46,5,0)</f>
        <v>#N/A</v>
      </c>
    </row>
    <row r="218" spans="1:24" x14ac:dyDescent="0.25">
      <c r="A218" s="23">
        <v>44652</v>
      </c>
      <c r="B218" s="24" t="e">
        <f>VLOOKUP($J218,Sheet2!$A$2:$E$46,5,0)</f>
        <v>#N/A</v>
      </c>
    </row>
    <row r="219" spans="1:24" x14ac:dyDescent="0.25">
      <c r="A219" s="23">
        <v>44652</v>
      </c>
      <c r="B219" s="24" t="e">
        <f>VLOOKUP($J219,Sheet2!$A$2:$E$46,5,0)</f>
        <v>#N/A</v>
      </c>
    </row>
    <row r="220" spans="1:24" x14ac:dyDescent="0.25">
      <c r="A220" s="23">
        <v>44652</v>
      </c>
      <c r="B220" s="24" t="e">
        <f>VLOOKUP($J220,Sheet2!$A$2:$E$46,5,0)</f>
        <v>#N/A</v>
      </c>
    </row>
    <row r="221" spans="1:24" x14ac:dyDescent="0.25">
      <c r="A221" s="23">
        <v>44652</v>
      </c>
      <c r="B221" s="24" t="e">
        <f>VLOOKUP($J221,Sheet2!$A$2:$E$46,5,0)</f>
        <v>#N/A</v>
      </c>
    </row>
    <row r="222" spans="1:24" x14ac:dyDescent="0.25">
      <c r="A222" s="23">
        <v>44652</v>
      </c>
      <c r="B222" s="24" t="e">
        <f>VLOOKUP($J222,Sheet2!$A$2:$E$46,5,0)</f>
        <v>#N/A</v>
      </c>
    </row>
    <row r="223" spans="1:24" x14ac:dyDescent="0.25">
      <c r="A223" s="23">
        <v>44652</v>
      </c>
      <c r="B223" s="24" t="e">
        <f>VLOOKUP($J223,Sheet2!$A$2:$E$46,5,0)</f>
        <v>#N/A</v>
      </c>
    </row>
    <row r="224" spans="1:24" x14ac:dyDescent="0.25">
      <c r="A224" s="23">
        <v>44652</v>
      </c>
      <c r="B224" s="24" t="e">
        <f>VLOOKUP($J224,Sheet2!$A$2:$E$46,5,0)</f>
        <v>#N/A</v>
      </c>
    </row>
    <row r="225" spans="1:1" x14ac:dyDescent="0.25">
      <c r="A225" s="23">
        <v>44652</v>
      </c>
    </row>
    <row r="226" spans="1:1" x14ac:dyDescent="0.25">
      <c r="A226" s="23"/>
    </row>
    <row r="227" spans="1:1" x14ac:dyDescent="0.25">
      <c r="A227" s="23"/>
    </row>
    <row r="228" spans="1:1" x14ac:dyDescent="0.25">
      <c r="A228" s="23"/>
    </row>
    <row r="229" spans="1:1" x14ac:dyDescent="0.25">
      <c r="A229" s="23"/>
    </row>
    <row r="230" spans="1:1" x14ac:dyDescent="0.25">
      <c r="A230" s="23"/>
    </row>
    <row r="231" spans="1:1" x14ac:dyDescent="0.25">
      <c r="A231" s="23"/>
    </row>
    <row r="232" spans="1:1" x14ac:dyDescent="0.25">
      <c r="A232" s="23"/>
    </row>
    <row r="233" spans="1:1" x14ac:dyDescent="0.25">
      <c r="A233" s="23"/>
    </row>
  </sheetData>
  <conditionalFormatting sqref="L1:Z1 L2:AA3">
    <cfRule type="expression" dxfId="2" priority="3">
      <formula>COUNTIF(L$4:L$50005,"*")&gt;COUNTIF(L$4:L$50005,L$4)</formula>
    </cfRule>
  </conditionalFormatting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R23"/>
  <sheetViews>
    <sheetView workbookViewId="0">
      <selection activeCell="C26" sqref="C26"/>
    </sheetView>
  </sheetViews>
  <sheetFormatPr defaultRowHeight="15" x14ac:dyDescent="0.25"/>
  <cols>
    <col min="1" max="1" width="10.7109375" bestFit="1" customWidth="1"/>
    <col min="2" max="2" width="10.28515625" customWidth="1"/>
    <col min="3" max="3" width="52.7109375" bestFit="1" customWidth="1"/>
    <col min="4" max="4" width="43.140625" customWidth="1"/>
    <col min="5" max="5" width="41.28515625" bestFit="1" customWidth="1"/>
    <col min="6" max="6" width="30.140625" customWidth="1"/>
    <col min="7" max="8" width="37" bestFit="1" customWidth="1"/>
    <col min="9" max="10" width="37" customWidth="1"/>
    <col min="11" max="11" width="52.7109375" bestFit="1" customWidth="1"/>
    <col min="12" max="15" width="35" bestFit="1" customWidth="1"/>
    <col min="16" max="16" width="65.7109375" bestFit="1" customWidth="1"/>
    <col min="17" max="17" width="30.5703125" bestFit="1" customWidth="1"/>
    <col min="18" max="26" width="10.5703125" bestFit="1" customWidth="1"/>
    <col min="27" max="31" width="11.5703125" bestFit="1" customWidth="1"/>
  </cols>
  <sheetData>
    <row r="1" spans="1:18" x14ac:dyDescent="0.25">
      <c r="A1" t="s">
        <v>239</v>
      </c>
      <c r="B1" t="s">
        <v>165</v>
      </c>
      <c r="C1" t="s">
        <v>189</v>
      </c>
      <c r="D1" t="s">
        <v>271</v>
      </c>
      <c r="E1" t="s">
        <v>272</v>
      </c>
      <c r="F1" t="s">
        <v>192</v>
      </c>
      <c r="G1" t="s">
        <v>193</v>
      </c>
      <c r="H1" t="s">
        <v>194</v>
      </c>
      <c r="I1" t="s">
        <v>195</v>
      </c>
      <c r="J1" t="s">
        <v>196</v>
      </c>
      <c r="K1" t="s">
        <v>197</v>
      </c>
      <c r="L1" t="s">
        <v>198</v>
      </c>
      <c r="M1" t="s">
        <v>199</v>
      </c>
      <c r="N1" t="s">
        <v>200</v>
      </c>
      <c r="O1" t="s">
        <v>201</v>
      </c>
      <c r="P1" t="s">
        <v>202</v>
      </c>
      <c r="Q1" t="s">
        <v>203</v>
      </c>
    </row>
    <row r="2" spans="1:18" x14ac:dyDescent="0.25">
      <c r="A2" s="24">
        <v>44743</v>
      </c>
      <c r="B2" t="s">
        <v>118</v>
      </c>
      <c r="C2">
        <f>VLOOKUP(Fednet_data[[#Headers],[{SDLR01a} Excluding ineligible for NHS Health Check (SDLR)]],Sheet4!$A$42:$C$57,3,FALSE)</f>
        <v>323</v>
      </c>
      <c r="D2">
        <f>VLOOKUP(Fednet_data[[#Headers],[{SDLR01} NHS Health Checks offered 2022-2023]],Sheet4!$A$42:$C$57,3,FALSE)</f>
        <v>326</v>
      </c>
      <c r="E2">
        <f>VLOOKUP(Fednet_data[[#Headers],[{SDLR02} NHS Health Checks done 2022-2023]],Sheet4!$A$42:$C$57,3,FALSE)</f>
        <v>60</v>
      </c>
      <c r="F2">
        <f>VLOOKUP(Fednet_data[[#Headers],[{SDLR03} Current Aged 40-74yrs]],Sheet4!$A$42:$C$57,3,FALSE)</f>
        <v>1540</v>
      </c>
      <c r="G2">
        <f>VLOOKUP(Fednet_data[[#Headers],[{SDLR01-Q1} NHS Health Checks offered]],Sheet4!$A$42:$C$57,3,FALSE)</f>
        <v>1</v>
      </c>
      <c r="H2">
        <f>VLOOKUP(Fednet_data[[#Headers],[{SDLR01-Q2} NHS Health Checks offered]],Sheet4!$A$42:$C$57,3,FALSE)</f>
        <v>5</v>
      </c>
      <c r="I2">
        <f>VLOOKUP(Fednet_data[[#Headers],[{SDLR01-Q3} NHS Health Checks offered]],Sheet4!$A$42:$C$57,3,FALSE)</f>
        <v>317</v>
      </c>
      <c r="J2">
        <f>VLOOKUP(Fednet_data[[#Headers],[{SDLR01-Q4} NHS Health Checks offered]],Sheet4!$A$42:$C$57,3,FALSE)</f>
        <v>0</v>
      </c>
      <c r="K2">
        <f>VLOOKUP(Fednet_data[[#Headers],[{SDLR02a} Excluding ineligible for NHS Health Check (SDLR)]],Sheet4!$A$42:$C$57,3,FALSE)</f>
        <v>60</v>
      </c>
      <c r="L2">
        <f>VLOOKUP(Fednet_data[[#Headers],[{SDLR02-Q1} NHS Health Checks done]],Sheet4!$A$42:$C$57,3,FALSE)</f>
        <v>1</v>
      </c>
      <c r="M2">
        <f>VLOOKUP(Fednet_data[[#Headers],[{SDLR02-Q2} NHS Health Checks done]],Sheet4!$A$42:$C$57,3,FALSE)</f>
        <v>7</v>
      </c>
      <c r="N2">
        <f>VLOOKUP(Fednet_data[[#Headers],[{SDLR02-Q3} NHS Health Checks done]],Sheet4!$A$42:$C$57,3,FALSE)</f>
        <v>24</v>
      </c>
      <c r="O2">
        <f>VLOOKUP(Fednet_data[[#Headers],[{SDLR02-Q4} NHS Health Checks done]],Sheet4!$A$42:$C$57,3,FALSE)</f>
        <v>0</v>
      </c>
      <c r="P2">
        <f>VLOOKUP(Fednet_data[[#Headers],[{SDLR03a} Excl DM, IHD, Stroke/TIA, HyperT, PAD, FH, CKD, AF, HF,Statins]],Sheet4!$A$42:$C$57,3,FALSE)</f>
        <v>1529</v>
      </c>
      <c r="Q2">
        <f>VLOOKUP(Fednet_data[[#Headers],[{SDLR03TEP} current eligible TEP]],Sheet4!$A$42:$C$57,3,FALSE)</f>
        <v>1524</v>
      </c>
    </row>
    <row r="3" spans="1:18" x14ac:dyDescent="0.25">
      <c r="A3" s="24">
        <v>44743</v>
      </c>
      <c r="B3" t="s">
        <v>116</v>
      </c>
      <c r="C3">
        <f>VLOOKUP(Fednet_data[[#Headers],[{SDLR01a} Excluding ineligible for NHS Health Check (SDLR)]],Sheet4!$A$26:$C$41,3,FALSE)</f>
        <v>318</v>
      </c>
      <c r="D3">
        <f>VLOOKUP(Fednet_data[[#Headers],[{SDLR01} NHS Health Checks offered 2022-2023]],Sheet4!$A$26:$C$41,3,FALSE)</f>
        <v>320</v>
      </c>
      <c r="E3">
        <f>VLOOKUP(Fednet_data[[#Headers],[{SDLR02} NHS Health Checks done 2022-2023]],Sheet4!$A$26:$C$41,3,FALSE)</f>
        <v>98</v>
      </c>
      <c r="F3">
        <f>VLOOKUP(Fednet_data[[#Headers],[{SDLR03} Current Aged 40-74yrs]],Sheet4!$A$26:$C$41,3,FALSE)</f>
        <v>2615</v>
      </c>
      <c r="G3">
        <f>VLOOKUP(Fednet_data[[#Headers],[{SDLR01-Q1} NHS Health Checks offered]],Sheet4!$A$26:$C$41,3,FALSE)</f>
        <v>19</v>
      </c>
      <c r="H3">
        <f>VLOOKUP(Fednet_data[[#Headers],[{SDLR01-Q2} NHS Health Checks offered]],Sheet4!$A$26:$C$41,3,FALSE)</f>
        <v>11</v>
      </c>
      <c r="I3">
        <f>VLOOKUP(Fednet_data[[#Headers],[{SDLR01-Q3} NHS Health Checks offered]],Sheet4!$A$26:$C$41,3,FALSE)</f>
        <v>288</v>
      </c>
      <c r="J3">
        <f>VLOOKUP(Fednet_data[[#Headers],[{SDLR01-Q4} NHS Health Checks offered]],Sheet4!$A$26:$C$41,3,FALSE)</f>
        <v>0</v>
      </c>
      <c r="K3">
        <f>VLOOKUP(Fednet_data[[#Headers],[{SDLR02a} Excluding ineligible for NHS Health Check (SDLR)]],Sheet4!$A$26:$C$41,3,FALSE)</f>
        <v>97</v>
      </c>
      <c r="L3">
        <f>VLOOKUP(Fednet_data[[#Headers],[{SDLR02-Q1} NHS Health Checks done]],Sheet4!$A$26:$C$41,3,FALSE)</f>
        <v>36</v>
      </c>
      <c r="M3">
        <f>VLOOKUP(Fednet_data[[#Headers],[{SDLR02-Q2} NHS Health Checks done]],Sheet4!$A$26:$C$41,3,FALSE)</f>
        <v>9</v>
      </c>
      <c r="N3">
        <f>VLOOKUP(Fednet_data[[#Headers],[{SDLR02-Q3} NHS Health Checks done]],Sheet4!$A$26:$C$41,3,FALSE)</f>
        <v>24</v>
      </c>
      <c r="O3">
        <f>VLOOKUP(Fednet_data[[#Headers],[{SDLR02-Q4} NHS Health Checks done]],Sheet4!$A$26:$C$41,3,FALSE)</f>
        <v>0</v>
      </c>
      <c r="P3">
        <f>VLOOKUP(Fednet_data[[#Headers],[{SDLR03a} Excl DM, IHD, Stroke/TIA, HyperT, PAD, FH, CKD, AF, HF,Statins]],Sheet4!$A$26:$C$41,3,FALSE)</f>
        <v>2608</v>
      </c>
      <c r="Q3">
        <f>VLOOKUP(Fednet_data[[#Headers],[{SDLR03TEP} current eligible TEP]],Sheet4!$A$26:$C$41,3,FALSE)</f>
        <v>2583</v>
      </c>
    </row>
    <row r="4" spans="1:18" x14ac:dyDescent="0.25">
      <c r="A4" s="24">
        <v>44743</v>
      </c>
      <c r="B4" t="s">
        <v>120</v>
      </c>
      <c r="C4">
        <f>VLOOKUP(Fednet_data[[#Headers],[{SDLR01a} Excluding ineligible for NHS Health Check (SDLR)]],Sheet4!$A$58:$C$73,3,FALSE)</f>
        <v>342</v>
      </c>
      <c r="D4">
        <f>VLOOKUP(Fednet_data[[#Headers],[{SDLR01} NHS Health Checks offered 2022-2023]],Sheet4!$A$58:$C$73,3,FALSE)</f>
        <v>344</v>
      </c>
      <c r="E4">
        <f>VLOOKUP(Fednet_data[[#Headers],[{SDLR02} NHS Health Checks done 2022-2023]],Sheet4!$A$58:$C$73,3,FALSE)</f>
        <v>144</v>
      </c>
      <c r="F4">
        <f>VLOOKUP(Fednet_data[[#Headers],[{SDLR03} Current Aged 40-74yrs]],Sheet4!$A$58:$C$73,3,FALSE)</f>
        <v>2020</v>
      </c>
      <c r="G4">
        <f>VLOOKUP(Fednet_data[[#Headers],[{SDLR01-Q1} NHS Health Checks offered]],Sheet4!$A$58:$C$73,3,FALSE)</f>
        <v>37</v>
      </c>
      <c r="H4">
        <f>VLOOKUP(Fednet_data[[#Headers],[{SDLR01-Q2} NHS Health Checks offered]],Sheet4!$A$58:$C$73,3,FALSE)</f>
        <v>91</v>
      </c>
      <c r="I4">
        <f>VLOOKUP(Fednet_data[[#Headers],[{SDLR01-Q3} NHS Health Checks offered]],Sheet4!$A$58:$C$73,3,FALSE)</f>
        <v>214</v>
      </c>
      <c r="J4">
        <f>VLOOKUP(Fednet_data[[#Headers],[{SDLR01-Q4} NHS Health Checks offered]],Sheet4!$A$58:$C$73,3,FALSE)</f>
        <v>0</v>
      </c>
      <c r="K4">
        <f>VLOOKUP(Fednet_data[[#Headers],[{SDLR02a} Excluding ineligible for NHS Health Check (SDLR)]],Sheet4!$A$58:$C$73,3,FALSE)</f>
        <v>142</v>
      </c>
      <c r="L4">
        <f>VLOOKUP(Fednet_data[[#Headers],[{SDLR02-Q1} NHS Health Checks done]],Sheet4!$A$58:$C$73,3,FALSE)</f>
        <v>38</v>
      </c>
      <c r="M4">
        <f>VLOOKUP(Fednet_data[[#Headers],[{SDLR02-Q2} NHS Health Checks done]],Sheet4!$A$58:$C$73,3,FALSE)</f>
        <v>34</v>
      </c>
      <c r="N4">
        <f>VLOOKUP(Fednet_data[[#Headers],[{SDLR02-Q3} NHS Health Checks done]],Sheet4!$A$58:$C$73,3,FALSE)</f>
        <v>22</v>
      </c>
      <c r="O4">
        <f>VLOOKUP(Fednet_data[[#Headers],[{SDLR02-Q4} NHS Health Checks done]],Sheet4!$A$58:$C$73,3,FALSE)</f>
        <v>0</v>
      </c>
      <c r="P4">
        <f>VLOOKUP(Fednet_data[[#Headers],[{SDLR03a} Excl DM, IHD, Stroke/TIA, HyperT, PAD, FH, CKD, AF, HF,Statins]],Sheet4!$A$58:$C$73,3,FALSE)</f>
        <v>2007</v>
      </c>
      <c r="Q4">
        <f>VLOOKUP(Fednet_data[[#Headers],[{SDLR03TEP} current eligible TEP]],Sheet4!$A$58:$C$73,3,FALSE)</f>
        <v>1984</v>
      </c>
    </row>
    <row r="5" spans="1:18" x14ac:dyDescent="0.25">
      <c r="A5" s="24">
        <v>44743</v>
      </c>
      <c r="B5" t="s">
        <v>113</v>
      </c>
      <c r="C5">
        <f>VLOOKUP(Fednet_data[[#Headers],[{SDLR01a} Excluding ineligible for NHS Health Check (SDLR)]],Sheet4!$A$74:$C$89,3,FALSE)</f>
        <v>11</v>
      </c>
      <c r="D5">
        <f>VLOOKUP(Fednet_data[[#Headers],[{SDLR01} NHS Health Checks offered 2022-2023]],Sheet4!$A$74:$C$89,3,FALSE)</f>
        <v>11</v>
      </c>
      <c r="E5">
        <f>VLOOKUP(Fednet_data[[#Headers],[{SDLR02} NHS Health Checks done 2022-2023]],Sheet4!$A$74:$C$89,3,FALSE)</f>
        <v>15</v>
      </c>
      <c r="F5">
        <f>VLOOKUP(Fednet_data[[#Headers],[{SDLR03} Current Aged 40-74yrs]],Sheet4!$A$74:$C$89,3,FALSE)</f>
        <v>1589</v>
      </c>
      <c r="G5">
        <f>VLOOKUP(Fednet_data[[#Headers],[{SDLR01-Q1} NHS Health Checks offered]],Sheet4!$A$74:$C$89,3,FALSE)</f>
        <v>10</v>
      </c>
      <c r="H5">
        <f>VLOOKUP(Fednet_data[[#Headers],[{SDLR01-Q2} NHS Health Checks offered]],Sheet4!$A$74:$C$89,3,FALSE)</f>
        <v>1</v>
      </c>
      <c r="I5">
        <f>VLOOKUP(Fednet_data[[#Headers],[{SDLR01-Q3} NHS Health Checks offered]],Sheet4!$A$74:$C$89,3,FALSE)</f>
        <v>0</v>
      </c>
      <c r="J5">
        <f>VLOOKUP(Fednet_data[[#Headers],[{SDLR01-Q4} NHS Health Checks offered]],Sheet4!$A$74:$C$89,3,FALSE)</f>
        <v>0</v>
      </c>
      <c r="K5">
        <f>VLOOKUP(Fednet_data[[#Headers],[{SDLR02a} Excluding ineligible for NHS Health Check (SDLR)]],Sheet4!$A$74:$C$89,3,FALSE)</f>
        <v>15</v>
      </c>
      <c r="L5">
        <f>VLOOKUP(Fednet_data[[#Headers],[{SDLR02-Q1} NHS Health Checks done]],Sheet4!$A$74:$C$89,3,FALSE)</f>
        <v>14</v>
      </c>
      <c r="M5">
        <f>VLOOKUP(Fednet_data[[#Headers],[{SDLR02-Q2} NHS Health Checks done]],Sheet4!$A$74:$C$89,3,FALSE)</f>
        <v>1</v>
      </c>
      <c r="N5">
        <f>VLOOKUP(Fednet_data[[#Headers],[{SDLR02-Q3} NHS Health Checks done]],Sheet4!$A$74:$C$89,3,FALSE)</f>
        <v>0</v>
      </c>
      <c r="O5">
        <f>VLOOKUP(Fednet_data[[#Headers],[{SDLR02-Q4} NHS Health Checks done]],Sheet4!$A$74:$C$89,3,FALSE)</f>
        <v>0</v>
      </c>
      <c r="P5">
        <f>VLOOKUP(Fednet_data[[#Headers],[{SDLR03a} Excl DM, IHD, Stroke/TIA, HyperT, PAD, FH, CKD, AF, HF,Statins]],Sheet4!$A$74:$C$89,3,FALSE)</f>
        <v>1578</v>
      </c>
      <c r="Q5">
        <f>VLOOKUP(Fednet_data[[#Headers],[{SDLR03TEP} current eligible TEP]],Sheet4!$A$74:$C$89,3,FALSE)</f>
        <v>1561</v>
      </c>
    </row>
    <row r="6" spans="1:18" x14ac:dyDescent="0.25">
      <c r="A6" s="24">
        <v>44743</v>
      </c>
      <c r="B6" t="s">
        <v>110</v>
      </c>
      <c r="C6">
        <f>VLOOKUP(Fednet_data[[#Headers],[{SDLR01a} Excluding ineligible for NHS Health Check (SDLR)]],Sheet4!$A$10:$C$25,3,FALSE)</f>
        <v>418</v>
      </c>
      <c r="D6">
        <f>VLOOKUP(Fednet_data[[#Headers],[{SDLR01} NHS Health Checks offered 2022-2023]],Sheet4!$A$10:$C$25,3,FALSE)</f>
        <v>420</v>
      </c>
      <c r="E6">
        <f>VLOOKUP(Fednet_data[[#Headers],[{SDLR02} NHS Health Checks done 2022-2023]],Sheet4!$A$10:$C$25,3,FALSE)</f>
        <v>197</v>
      </c>
      <c r="F6">
        <f>VLOOKUP(Fednet_data[[#Headers],[{SDLR03} Current Aged 40-74yrs]],Sheet4!$A$10:$C$25,3,FALSE)</f>
        <v>1550</v>
      </c>
      <c r="G6">
        <f>VLOOKUP(Fednet_data[[#Headers],[{SDLR01-Q1} NHS Health Checks offered]],Sheet4!$A$10:$C$25,3,FALSE)</f>
        <v>42</v>
      </c>
      <c r="H6">
        <f>VLOOKUP(Fednet_data[[#Headers],[{SDLR01-Q2} NHS Health Checks offered]],Sheet4!$A$10:$C$25,3,FALSE)</f>
        <v>95</v>
      </c>
      <c r="I6">
        <f>VLOOKUP(Fednet_data[[#Headers],[{SDLR01-Q3} NHS Health Checks offered]],Sheet4!$A$10:$C$25,3,FALSE)</f>
        <v>269</v>
      </c>
      <c r="J6">
        <f>VLOOKUP(Fednet_data[[#Headers],[{SDLR01-Q4} NHS Health Checks offered]],Sheet4!$A$10:$C$25,3,FALSE)</f>
        <v>0</v>
      </c>
      <c r="K6">
        <f>VLOOKUP(Fednet_data[[#Headers],[{SDLR02a} Excluding ineligible for NHS Health Check (SDLR)]],Sheet4!$A$10:$C$25,3,FALSE)</f>
        <v>195</v>
      </c>
      <c r="L6">
        <f>VLOOKUP(Fednet_data[[#Headers],[{SDLR02-Q1} NHS Health Checks done]],Sheet4!$A$10:$C$25,3,FALSE)</f>
        <v>42</v>
      </c>
      <c r="M6">
        <f>VLOOKUP(Fednet_data[[#Headers],[{SDLR02-Q2} NHS Health Checks done]],Sheet4!$A$10:$C$25,3,FALSE)</f>
        <v>47</v>
      </c>
      <c r="N6">
        <f>VLOOKUP(Fednet_data[[#Headers],[{SDLR02-Q3} NHS Health Checks done]],Sheet4!$A$10:$C$25,3,FALSE)</f>
        <v>23</v>
      </c>
      <c r="O6">
        <f>VLOOKUP(Fednet_data[[#Headers],[{SDLR02-Q4} NHS Health Checks done]],Sheet4!$A$10:$C$25,3,FALSE)</f>
        <v>0</v>
      </c>
      <c r="P6">
        <f>VLOOKUP(Fednet_data[[#Headers],[{SDLR03a} Excl DM, IHD, Stroke/TIA, HyperT, PAD, FH, CKD, AF, HF,Statins]],Sheet4!$A$10:$C$25,3,FALSE)</f>
        <v>1546</v>
      </c>
      <c r="Q6">
        <f>VLOOKUP(Fednet_data[[#Headers],[{SDLR03TEP} current eligible TEP]],Sheet4!$A$10:$C$25,3,FALSE)</f>
        <v>1522</v>
      </c>
    </row>
    <row r="12" spans="1:18" x14ac:dyDescent="0.25">
      <c r="C12" t="s">
        <v>240</v>
      </c>
      <c r="D12" t="s">
        <v>241</v>
      </c>
      <c r="E12" t="s">
        <v>242</v>
      </c>
      <c r="F12" t="s">
        <v>243</v>
      </c>
      <c r="G12" t="s">
        <v>244</v>
      </c>
      <c r="H12" t="s">
        <v>244</v>
      </c>
      <c r="I12" t="s">
        <v>244</v>
      </c>
      <c r="J12" t="s">
        <v>244</v>
      </c>
      <c r="K12" t="s">
        <v>240</v>
      </c>
      <c r="L12" t="s">
        <v>245</v>
      </c>
      <c r="M12" t="s">
        <v>245</v>
      </c>
      <c r="N12" t="s">
        <v>245</v>
      </c>
      <c r="O12" t="s">
        <v>245</v>
      </c>
      <c r="P12" t="s">
        <v>246</v>
      </c>
      <c r="Q12" t="s">
        <v>247</v>
      </c>
      <c r="R12" t="s">
        <v>248</v>
      </c>
    </row>
    <row r="23" spans="3:3" x14ac:dyDescent="0.25">
      <c r="C23" s="192"/>
    </row>
  </sheetData>
  <pageMargins left="0.7" right="0.7" top="0.75" bottom="0.75" header="0.3" footer="0.3"/>
  <tableParts count="1">
    <tablePart r:id="rId1"/>
  </tablePart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I51"/>
  <sheetViews>
    <sheetView workbookViewId="0">
      <selection activeCell="G67" sqref="G67"/>
    </sheetView>
  </sheetViews>
  <sheetFormatPr defaultRowHeight="15" x14ac:dyDescent="0.25"/>
  <cols>
    <col min="2" max="2" width="52.42578125" bestFit="1" customWidth="1"/>
    <col min="8" max="8" width="21.140625" bestFit="1" customWidth="1"/>
  </cols>
  <sheetData>
    <row r="1" spans="1:8" ht="30" x14ac:dyDescent="0.25">
      <c r="A1" s="116" t="s">
        <v>167</v>
      </c>
      <c r="B1" s="116" t="s">
        <v>208</v>
      </c>
      <c r="C1" s="116" t="s">
        <v>209</v>
      </c>
      <c r="D1" s="116" t="s">
        <v>210</v>
      </c>
      <c r="E1" s="116" t="s">
        <v>211</v>
      </c>
      <c r="G1" s="116" t="s">
        <v>212</v>
      </c>
      <c r="H1" s="116" t="s">
        <v>211</v>
      </c>
    </row>
    <row r="2" spans="1:8" x14ac:dyDescent="0.25">
      <c r="A2" s="117" t="s">
        <v>31</v>
      </c>
      <c r="B2" s="118" t="s">
        <v>30</v>
      </c>
      <c r="E2" s="118" t="s">
        <v>213</v>
      </c>
      <c r="G2" t="str">
        <f>INDEX($A$2:$A$41,MATCH(Summary!$B$5,Sheet2!$B$2:$B$41,0))</f>
        <v>Y01291</v>
      </c>
      <c r="H2" t="str">
        <f>VLOOKUP($G$2,$A$2:$E$40,5,0)</f>
        <v>WF-2</v>
      </c>
    </row>
    <row r="3" spans="1:8" x14ac:dyDescent="0.25">
      <c r="A3" s="117" t="s">
        <v>33</v>
      </c>
      <c r="B3" s="118" t="s">
        <v>32</v>
      </c>
      <c r="E3" s="118" t="s">
        <v>213</v>
      </c>
    </row>
    <row r="4" spans="1:8" x14ac:dyDescent="0.25">
      <c r="A4" s="117" t="s">
        <v>35</v>
      </c>
      <c r="B4" s="118" t="s">
        <v>34</v>
      </c>
      <c r="E4" s="118" t="s">
        <v>213</v>
      </c>
    </row>
    <row r="5" spans="1:8" x14ac:dyDescent="0.25">
      <c r="A5" s="117" t="s">
        <v>37</v>
      </c>
      <c r="B5" s="118" t="s">
        <v>36</v>
      </c>
      <c r="E5" s="118" t="s">
        <v>214</v>
      </c>
    </row>
    <row r="6" spans="1:8" x14ac:dyDescent="0.25">
      <c r="A6" s="117" t="s">
        <v>39</v>
      </c>
      <c r="B6" s="118" t="s">
        <v>38</v>
      </c>
      <c r="E6" s="118" t="s">
        <v>214</v>
      </c>
    </row>
    <row r="7" spans="1:8" x14ac:dyDescent="0.25">
      <c r="A7" s="117" t="s">
        <v>41</v>
      </c>
      <c r="B7" s="118" t="s">
        <v>40</v>
      </c>
      <c r="E7" s="118" t="s">
        <v>213</v>
      </c>
    </row>
    <row r="8" spans="1:8" x14ac:dyDescent="0.25">
      <c r="A8" s="117" t="s">
        <v>43</v>
      </c>
      <c r="B8" s="118" t="s">
        <v>42</v>
      </c>
      <c r="E8" s="118" t="s">
        <v>214</v>
      </c>
    </row>
    <row r="9" spans="1:8" x14ac:dyDescent="0.25">
      <c r="A9" s="117" t="s">
        <v>45</v>
      </c>
      <c r="B9" s="118" t="s">
        <v>44</v>
      </c>
      <c r="E9" s="118" t="s">
        <v>215</v>
      </c>
    </row>
    <row r="10" spans="1:8" x14ac:dyDescent="0.25">
      <c r="A10" s="117" t="s">
        <v>47</v>
      </c>
      <c r="B10" s="118" t="s">
        <v>46</v>
      </c>
      <c r="E10" s="118" t="s">
        <v>216</v>
      </c>
    </row>
    <row r="11" spans="1:8" x14ac:dyDescent="0.25">
      <c r="A11" s="117" t="s">
        <v>49</v>
      </c>
      <c r="B11" s="118" t="s">
        <v>48</v>
      </c>
      <c r="E11" s="118" t="s">
        <v>215</v>
      </c>
    </row>
    <row r="12" spans="1:8" x14ac:dyDescent="0.25">
      <c r="A12" s="117" t="s">
        <v>51</v>
      </c>
      <c r="B12" s="118" t="s">
        <v>50</v>
      </c>
      <c r="E12" s="118" t="s">
        <v>216</v>
      </c>
      <c r="G12" s="119" t="s">
        <v>214</v>
      </c>
      <c r="H12" s="120" t="s">
        <v>217</v>
      </c>
    </row>
    <row r="13" spans="1:8" x14ac:dyDescent="0.25">
      <c r="A13" s="117" t="s">
        <v>53</v>
      </c>
      <c r="B13" s="118" t="s">
        <v>52</v>
      </c>
      <c r="E13" s="118" t="s">
        <v>216</v>
      </c>
      <c r="G13" s="119" t="s">
        <v>213</v>
      </c>
      <c r="H13" s="120" t="s">
        <v>218</v>
      </c>
    </row>
    <row r="14" spans="1:8" x14ac:dyDescent="0.25">
      <c r="A14" s="117" t="s">
        <v>55</v>
      </c>
      <c r="B14" s="118" t="s">
        <v>54</v>
      </c>
      <c r="E14" s="118" t="s">
        <v>219</v>
      </c>
      <c r="G14" s="119" t="s">
        <v>215</v>
      </c>
      <c r="H14" s="120" t="s">
        <v>220</v>
      </c>
    </row>
    <row r="15" spans="1:8" x14ac:dyDescent="0.25">
      <c r="A15" s="117" t="s">
        <v>57</v>
      </c>
      <c r="B15" s="118" t="s">
        <v>56</v>
      </c>
      <c r="E15" s="118" t="s">
        <v>216</v>
      </c>
      <c r="G15" s="119" t="s">
        <v>216</v>
      </c>
      <c r="H15" s="120" t="s">
        <v>221</v>
      </c>
    </row>
    <row r="16" spans="1:8" x14ac:dyDescent="0.25">
      <c r="A16" s="117" t="s">
        <v>59</v>
      </c>
      <c r="B16" s="118" t="s">
        <v>58</v>
      </c>
      <c r="E16" s="118" t="s">
        <v>219</v>
      </c>
      <c r="G16" s="119" t="s">
        <v>219</v>
      </c>
      <c r="H16" s="120" t="s">
        <v>222</v>
      </c>
    </row>
    <row r="17" spans="1:8" x14ac:dyDescent="0.25">
      <c r="A17" s="117" t="s">
        <v>61</v>
      </c>
      <c r="B17" s="118" t="s">
        <v>60</v>
      </c>
      <c r="E17" s="118" t="s">
        <v>219</v>
      </c>
      <c r="G17" s="119" t="s">
        <v>223</v>
      </c>
      <c r="H17" s="120" t="s">
        <v>224</v>
      </c>
    </row>
    <row r="18" spans="1:8" x14ac:dyDescent="0.25">
      <c r="A18" s="117" t="s">
        <v>63</v>
      </c>
      <c r="B18" s="118" t="s">
        <v>62</v>
      </c>
      <c r="E18" s="118" t="s">
        <v>216</v>
      </c>
      <c r="G18" s="119" t="s">
        <v>225</v>
      </c>
      <c r="H18" s="120" t="s">
        <v>226</v>
      </c>
    </row>
    <row r="19" spans="1:8" x14ac:dyDescent="0.25">
      <c r="A19" s="117" t="s">
        <v>65</v>
      </c>
      <c r="B19" s="118" t="s">
        <v>64</v>
      </c>
      <c r="E19" s="118" t="s">
        <v>219</v>
      </c>
    </row>
    <row r="20" spans="1:8" x14ac:dyDescent="0.25">
      <c r="A20" s="117" t="s">
        <v>67</v>
      </c>
      <c r="B20" s="118" t="s">
        <v>66</v>
      </c>
      <c r="E20" s="118" t="s">
        <v>219</v>
      </c>
    </row>
    <row r="21" spans="1:8" x14ac:dyDescent="0.25">
      <c r="A21" s="117" t="s">
        <v>69</v>
      </c>
      <c r="B21" s="118" t="s">
        <v>68</v>
      </c>
      <c r="E21" s="118" t="s">
        <v>219</v>
      </c>
    </row>
    <row r="22" spans="1:8" x14ac:dyDescent="0.25">
      <c r="A22" s="117" t="s">
        <v>71</v>
      </c>
      <c r="B22" s="118" t="s">
        <v>70</v>
      </c>
      <c r="E22" s="118" t="s">
        <v>216</v>
      </c>
    </row>
    <row r="23" spans="1:8" x14ac:dyDescent="0.25">
      <c r="A23" s="117" t="s">
        <v>73</v>
      </c>
      <c r="B23" s="118" t="s">
        <v>72</v>
      </c>
      <c r="E23" s="118" t="s">
        <v>215</v>
      </c>
    </row>
    <row r="24" spans="1:8" x14ac:dyDescent="0.25">
      <c r="A24" s="117" t="s">
        <v>75</v>
      </c>
      <c r="B24" s="118" t="s">
        <v>74</v>
      </c>
      <c r="E24" s="118" t="s">
        <v>216</v>
      </c>
    </row>
    <row r="25" spans="1:8" x14ac:dyDescent="0.25">
      <c r="A25" s="117" t="s">
        <v>77</v>
      </c>
      <c r="B25" s="118" t="s">
        <v>76</v>
      </c>
      <c r="E25" s="118" t="s">
        <v>223</v>
      </c>
    </row>
    <row r="26" spans="1:8" x14ac:dyDescent="0.25">
      <c r="A26" s="117" t="s">
        <v>79</v>
      </c>
      <c r="B26" t="s">
        <v>78</v>
      </c>
      <c r="E26" s="118" t="s">
        <v>223</v>
      </c>
    </row>
    <row r="27" spans="1:8" x14ac:dyDescent="0.25">
      <c r="A27" s="117" t="s">
        <v>81</v>
      </c>
      <c r="B27" s="118" t="s">
        <v>227</v>
      </c>
      <c r="E27" s="118" t="s">
        <v>223</v>
      </c>
    </row>
    <row r="28" spans="1:8" x14ac:dyDescent="0.25">
      <c r="A28" s="117" t="s">
        <v>83</v>
      </c>
      <c r="B28" s="118" t="s">
        <v>82</v>
      </c>
      <c r="E28" s="118" t="s">
        <v>214</v>
      </c>
    </row>
    <row r="29" spans="1:8" x14ac:dyDescent="0.25">
      <c r="A29" s="117" t="s">
        <v>85</v>
      </c>
      <c r="B29" s="118" t="s">
        <v>84</v>
      </c>
      <c r="E29" s="118" t="s">
        <v>223</v>
      </c>
    </row>
    <row r="30" spans="1:8" x14ac:dyDescent="0.25">
      <c r="A30" s="117" t="s">
        <v>87</v>
      </c>
      <c r="B30" s="118" t="s">
        <v>86</v>
      </c>
      <c r="E30" s="118" t="s">
        <v>225</v>
      </c>
    </row>
    <row r="31" spans="1:8" x14ac:dyDescent="0.25">
      <c r="A31" s="117" t="s">
        <v>89</v>
      </c>
      <c r="B31" s="118" t="s">
        <v>88</v>
      </c>
      <c r="E31" s="118" t="s">
        <v>214</v>
      </c>
    </row>
    <row r="32" spans="1:8" x14ac:dyDescent="0.25">
      <c r="A32" s="117" t="s">
        <v>91</v>
      </c>
      <c r="B32" s="118" t="s">
        <v>114</v>
      </c>
      <c r="E32" s="118" t="s">
        <v>225</v>
      </c>
    </row>
    <row r="33" spans="1:9" x14ac:dyDescent="0.25">
      <c r="A33" s="117" t="s">
        <v>93</v>
      </c>
      <c r="B33" s="118" t="s">
        <v>92</v>
      </c>
      <c r="E33" s="118" t="s">
        <v>225</v>
      </c>
    </row>
    <row r="34" spans="1:9" x14ac:dyDescent="0.25">
      <c r="A34" s="117" t="s">
        <v>95</v>
      </c>
      <c r="B34" s="118" t="s">
        <v>94</v>
      </c>
      <c r="E34" s="118" t="s">
        <v>225</v>
      </c>
    </row>
    <row r="35" spans="1:9" x14ac:dyDescent="0.25">
      <c r="A35" s="117" t="s">
        <v>97</v>
      </c>
      <c r="B35" s="118" t="s">
        <v>96</v>
      </c>
      <c r="E35" s="118" t="s">
        <v>214</v>
      </c>
    </row>
    <row r="36" spans="1:9" x14ac:dyDescent="0.25">
      <c r="A36" s="117" t="s">
        <v>99</v>
      </c>
      <c r="B36" s="118" t="s">
        <v>98</v>
      </c>
      <c r="E36" s="118" t="s">
        <v>225</v>
      </c>
    </row>
    <row r="37" spans="1:9" x14ac:dyDescent="0.25">
      <c r="A37" t="s">
        <v>101</v>
      </c>
      <c r="B37" s="118" t="s">
        <v>100</v>
      </c>
      <c r="E37" s="118" t="s">
        <v>214</v>
      </c>
    </row>
    <row r="38" spans="1:9" x14ac:dyDescent="0.25">
      <c r="A38" t="s">
        <v>103</v>
      </c>
      <c r="B38" s="118" t="s">
        <v>102</v>
      </c>
      <c r="E38" s="118" t="s">
        <v>223</v>
      </c>
    </row>
    <row r="39" spans="1:9" x14ac:dyDescent="0.25">
      <c r="A39" t="s">
        <v>105</v>
      </c>
      <c r="B39" s="118" t="s">
        <v>104</v>
      </c>
      <c r="E39" s="118" t="s">
        <v>214</v>
      </c>
    </row>
    <row r="40" spans="1:9" x14ac:dyDescent="0.25">
      <c r="A40" t="s">
        <v>106</v>
      </c>
      <c r="B40" t="s">
        <v>15</v>
      </c>
      <c r="E40" t="s">
        <v>214</v>
      </c>
    </row>
    <row r="41" spans="1:9" x14ac:dyDescent="0.25">
      <c r="A41" t="s">
        <v>107</v>
      </c>
      <c r="B41" s="118" t="s">
        <v>228</v>
      </c>
      <c r="E41" s="118" t="s">
        <v>107</v>
      </c>
      <c r="H41" t="s">
        <v>229</v>
      </c>
      <c r="I41" t="s">
        <v>110</v>
      </c>
    </row>
    <row r="42" spans="1:9" x14ac:dyDescent="0.25">
      <c r="A42" t="s">
        <v>110</v>
      </c>
      <c r="B42" s="118" t="s">
        <v>109</v>
      </c>
      <c r="E42" s="118" t="s">
        <v>214</v>
      </c>
      <c r="H42" t="s">
        <v>230</v>
      </c>
      <c r="I42" t="s">
        <v>113</v>
      </c>
    </row>
    <row r="43" spans="1:9" x14ac:dyDescent="0.25">
      <c r="A43" t="s">
        <v>113</v>
      </c>
      <c r="B43" s="118" t="s">
        <v>112</v>
      </c>
      <c r="E43" s="118" t="s">
        <v>214</v>
      </c>
      <c r="H43" t="s">
        <v>231</v>
      </c>
      <c r="I43" t="s">
        <v>120</v>
      </c>
    </row>
    <row r="44" spans="1:9" x14ac:dyDescent="0.25">
      <c r="A44" t="s">
        <v>120</v>
      </c>
      <c r="B44" t="s">
        <v>119</v>
      </c>
      <c r="E44" s="118" t="s">
        <v>225</v>
      </c>
      <c r="H44" t="s">
        <v>232</v>
      </c>
      <c r="I44" t="s">
        <v>116</v>
      </c>
    </row>
    <row r="45" spans="1:9" x14ac:dyDescent="0.25">
      <c r="A45" t="s">
        <v>116</v>
      </c>
      <c r="B45" t="s">
        <v>115</v>
      </c>
      <c r="E45" s="118" t="s">
        <v>225</v>
      </c>
    </row>
    <row r="46" spans="1:9" ht="30" x14ac:dyDescent="0.25">
      <c r="A46" s="117" t="s">
        <v>118</v>
      </c>
      <c r="B46" s="118" t="s">
        <v>117</v>
      </c>
      <c r="E46" s="118" t="s">
        <v>225</v>
      </c>
    </row>
    <row r="47" spans="1:9" x14ac:dyDescent="0.25">
      <c r="A47" t="s">
        <v>233</v>
      </c>
      <c r="B47" s="118" t="s">
        <v>234</v>
      </c>
      <c r="E47" s="118" t="s">
        <v>214</v>
      </c>
    </row>
    <row r="48" spans="1:9" x14ac:dyDescent="0.25">
      <c r="A48" t="s">
        <v>235</v>
      </c>
      <c r="B48" s="118" t="s">
        <v>112</v>
      </c>
      <c r="E48" s="118" t="s">
        <v>214</v>
      </c>
    </row>
    <row r="49" spans="1:5" x14ac:dyDescent="0.25">
      <c r="A49" t="s">
        <v>236</v>
      </c>
      <c r="B49" t="s">
        <v>119</v>
      </c>
      <c r="E49" s="118" t="s">
        <v>225</v>
      </c>
    </row>
    <row r="50" spans="1:5" x14ac:dyDescent="0.25">
      <c r="A50" t="s">
        <v>237</v>
      </c>
      <c r="B50" t="s">
        <v>115</v>
      </c>
      <c r="E50" s="118" t="s">
        <v>225</v>
      </c>
    </row>
    <row r="51" spans="1:5" x14ac:dyDescent="0.25">
      <c r="A51" s="117" t="s">
        <v>238</v>
      </c>
      <c r="B51" s="118" t="s">
        <v>117</v>
      </c>
      <c r="E51" s="118" t="s">
        <v>225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C1:O7"/>
  <sheetViews>
    <sheetView workbookViewId="0">
      <selection activeCell="G20" sqref="G20"/>
    </sheetView>
  </sheetViews>
  <sheetFormatPr defaultRowHeight="15" x14ac:dyDescent="0.25"/>
  <cols>
    <col min="3" max="4" width="13.140625" customWidth="1"/>
    <col min="5" max="15" width="19.42578125" customWidth="1"/>
  </cols>
  <sheetData>
    <row r="1" spans="3:15" x14ac:dyDescent="0.25">
      <c r="D1" t="s">
        <v>1</v>
      </c>
      <c r="E1" t="s">
        <v>2</v>
      </c>
      <c r="G1" t="s">
        <v>2</v>
      </c>
      <c r="H1" t="s">
        <v>3</v>
      </c>
      <c r="I1" t="s">
        <v>4</v>
      </c>
      <c r="J1" t="s">
        <v>5</v>
      </c>
      <c r="K1" t="s">
        <v>6</v>
      </c>
      <c r="L1" t="s">
        <v>7</v>
      </c>
      <c r="M1" t="s">
        <v>8</v>
      </c>
      <c r="N1" t="s">
        <v>9</v>
      </c>
      <c r="O1" t="s">
        <v>10</v>
      </c>
    </row>
    <row r="2" spans="3:15" x14ac:dyDescent="0.25">
      <c r="D2" s="65"/>
      <c r="E2" s="66"/>
      <c r="F2" s="66"/>
      <c r="G2" s="55"/>
      <c r="H2" s="2"/>
      <c r="I2" s="45"/>
      <c r="J2" s="36"/>
      <c r="K2" s="46"/>
      <c r="L2" s="2"/>
      <c r="M2" s="45"/>
      <c r="N2" s="36"/>
      <c r="O2" s="67"/>
    </row>
    <row r="3" spans="3:15" ht="47.25" customHeight="1" thickBot="1" x14ac:dyDescent="0.3">
      <c r="D3" s="105" t="s">
        <v>1</v>
      </c>
      <c r="E3" s="105" t="s">
        <v>2</v>
      </c>
      <c r="F3" s="105"/>
      <c r="G3" s="106" t="s">
        <v>2</v>
      </c>
      <c r="H3" s="107" t="s">
        <v>3</v>
      </c>
      <c r="I3" s="108" t="s">
        <v>4</v>
      </c>
      <c r="J3" s="107" t="s">
        <v>5</v>
      </c>
      <c r="K3" s="108" t="s">
        <v>6</v>
      </c>
      <c r="L3" s="107" t="s">
        <v>7</v>
      </c>
      <c r="M3" s="108" t="s">
        <v>8</v>
      </c>
      <c r="N3" s="107" t="s">
        <v>9</v>
      </c>
      <c r="O3" s="109" t="s">
        <v>10</v>
      </c>
    </row>
    <row r="4" spans="3:15" ht="15.75" thickTop="1" x14ac:dyDescent="0.25">
      <c r="C4" t="s">
        <v>157</v>
      </c>
      <c r="D4">
        <v>122536</v>
      </c>
      <c r="E4">
        <v>49111</v>
      </c>
      <c r="F4" s="132">
        <v>0.40078833975321537</v>
      </c>
      <c r="G4">
        <v>73425</v>
      </c>
      <c r="H4">
        <v>2102</v>
      </c>
      <c r="I4">
        <v>1186</v>
      </c>
      <c r="J4">
        <v>0</v>
      </c>
      <c r="K4">
        <v>0</v>
      </c>
      <c r="L4">
        <v>0</v>
      </c>
      <c r="M4">
        <v>0</v>
      </c>
      <c r="N4">
        <v>0</v>
      </c>
      <c r="O4">
        <v>0</v>
      </c>
    </row>
    <row r="5" spans="3:15" x14ac:dyDescent="0.25">
      <c r="C5" t="s">
        <v>27</v>
      </c>
      <c r="D5">
        <v>123181</v>
      </c>
      <c r="E5">
        <v>39881</v>
      </c>
      <c r="F5" s="132">
        <v>0.32375934600303619</v>
      </c>
      <c r="G5">
        <v>83300</v>
      </c>
      <c r="H5" s="1">
        <v>2116</v>
      </c>
      <c r="I5" s="1">
        <v>1194</v>
      </c>
      <c r="J5" s="1">
        <v>4137</v>
      </c>
      <c r="K5" s="1">
        <v>1747</v>
      </c>
      <c r="L5" s="1">
        <v>0</v>
      </c>
      <c r="M5" s="1">
        <v>0</v>
      </c>
      <c r="N5" s="1">
        <v>0</v>
      </c>
      <c r="O5" s="70">
        <v>0</v>
      </c>
    </row>
    <row r="6" spans="3:15" x14ac:dyDescent="0.25">
      <c r="C6" t="s">
        <v>161</v>
      </c>
      <c r="D6">
        <f>SUM(DATA!O134,DATA!O135:O148)</f>
        <v>142021</v>
      </c>
      <c r="E6">
        <f>D6-G6</f>
        <v>47946</v>
      </c>
      <c r="F6" s="132">
        <f>E6/D6</f>
        <v>0.33759796086494248</v>
      </c>
      <c r="G6">
        <f>SUM(DATA!Z134,DATA!Z135:Z144)</f>
        <v>94075</v>
      </c>
      <c r="H6" s="1">
        <f>SUM(DATA!Q134,DATA!P135:P144)</f>
        <v>5581</v>
      </c>
      <c r="I6" s="1">
        <f>SUM(DATA!V134,DATA!U135:U144)</f>
        <v>2664</v>
      </c>
      <c r="J6" s="1">
        <f>SUM(DATA!R134,DATA!Q135:Q144)</f>
        <v>7595</v>
      </c>
      <c r="K6" s="1">
        <f>SUM(DATA!W134,DATA!V135:V144)</f>
        <v>2656</v>
      </c>
      <c r="L6" s="1">
        <f>SUM(DATA!S134,DATA!R135:R144)</f>
        <v>1128</v>
      </c>
      <c r="M6" s="1">
        <f>SUM(DATA!X134,DATA!W135:W144)</f>
        <v>285</v>
      </c>
      <c r="N6" s="1">
        <v>0</v>
      </c>
      <c r="O6" s="70">
        <v>0</v>
      </c>
    </row>
    <row r="7" spans="3:15" x14ac:dyDescent="0.25">
      <c r="C7" t="s">
        <v>162</v>
      </c>
      <c r="D7">
        <f>SUM(DATA!O146,DATA!O147:O180)</f>
        <v>104789</v>
      </c>
      <c r="E7">
        <f>D7-G7</f>
        <v>34134</v>
      </c>
      <c r="F7" s="132">
        <f>E7/D7</f>
        <v>0.32574029716859593</v>
      </c>
      <c r="G7">
        <f>SUM(DATA!Z146,DATA!Z147:Z180)</f>
        <v>70655</v>
      </c>
      <c r="H7" s="1">
        <f>SUM(DATA!P146,DATA!P147:P180)</f>
        <v>5498</v>
      </c>
      <c r="I7" s="1">
        <f>SUM(DATA!U146,DATA!U147:U180)</f>
        <v>2234</v>
      </c>
      <c r="J7" s="1">
        <f>SUM(DATA!Q146,DATA!Q147:Q180)</f>
        <v>5465</v>
      </c>
      <c r="K7" s="1">
        <f>SUM(DATA!W185,DATA!V147:V180)</f>
        <v>2406</v>
      </c>
      <c r="L7" s="1">
        <f>SUM(DATA!S185,DATA!R147:R180)</f>
        <v>7564</v>
      </c>
      <c r="M7" s="1">
        <f>SUM(DATA!W185,DATA!V147:V180)</f>
        <v>2406</v>
      </c>
      <c r="N7" s="1">
        <v>0</v>
      </c>
      <c r="O7" s="70">
        <v>0</v>
      </c>
    </row>
  </sheetData>
  <conditionalFormatting sqref="D2:O3">
    <cfRule type="expression" dxfId="1" priority="7">
      <formula>ISERROR(D2)</formula>
    </cfRule>
  </conditionalFormatting>
  <conditionalFormatting sqref="H5:O7">
    <cfRule type="expression" dxfId="0" priority="1">
      <formula>ISERROR(H5)</formula>
    </cfRule>
  </conditionalFormatting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AJ89"/>
  <sheetViews>
    <sheetView zoomScale="80" zoomScaleNormal="80" workbookViewId="0">
      <selection activeCell="F15" sqref="F15"/>
    </sheetView>
  </sheetViews>
  <sheetFormatPr defaultRowHeight="15" x14ac:dyDescent="0.25"/>
  <cols>
    <col min="4" max="4" width="10.7109375" bestFit="1" customWidth="1"/>
    <col min="9" max="9" width="11.5703125" bestFit="1" customWidth="1"/>
    <col min="10" max="10" width="30.140625" bestFit="1" customWidth="1"/>
    <col min="11" max="11" width="9.28515625" bestFit="1" customWidth="1"/>
    <col min="12" max="12" width="67.7109375" bestFit="1" customWidth="1"/>
    <col min="13" max="20" width="81.140625" bestFit="1" customWidth="1"/>
    <col min="21" max="21" width="81.140625" customWidth="1"/>
    <col min="22" max="22" width="9.28515625" bestFit="1" customWidth="1"/>
    <col min="23" max="23" width="14.85546875" bestFit="1" customWidth="1"/>
    <col min="24" max="24" width="48.5703125" bestFit="1" customWidth="1"/>
    <col min="25" max="25" width="56.42578125" bestFit="1" customWidth="1"/>
    <col min="26" max="28" width="42.28515625" bestFit="1" customWidth="1"/>
    <col min="29" max="29" width="45.5703125" bestFit="1" customWidth="1"/>
    <col min="30" max="30" width="56.42578125" bestFit="1" customWidth="1"/>
    <col min="31" max="33" width="40" bestFit="1" customWidth="1"/>
  </cols>
  <sheetData>
    <row r="1" spans="1:25" x14ac:dyDescent="0.25">
      <c r="A1" t="s">
        <v>284</v>
      </c>
      <c r="I1" s="192" t="s">
        <v>276</v>
      </c>
      <c r="J1" t="s">
        <v>190</v>
      </c>
      <c r="K1" t="s">
        <v>191</v>
      </c>
      <c r="L1" t="s">
        <v>192</v>
      </c>
      <c r="M1" t="s">
        <v>193</v>
      </c>
      <c r="N1" t="s">
        <v>194</v>
      </c>
      <c r="O1" t="s">
        <v>195</v>
      </c>
      <c r="P1" t="s">
        <v>196</v>
      </c>
      <c r="Q1" t="s">
        <v>197</v>
      </c>
      <c r="R1" t="s">
        <v>198</v>
      </c>
      <c r="S1" t="s">
        <v>199</v>
      </c>
      <c r="T1" t="s">
        <v>200</v>
      </c>
      <c r="V1" t="s">
        <v>201</v>
      </c>
      <c r="W1" t="s">
        <v>202</v>
      </c>
      <c r="X1" t="s">
        <v>203</v>
      </c>
      <c r="Y1" t="s">
        <v>204</v>
      </c>
    </row>
    <row r="2" spans="1:25" x14ac:dyDescent="0.25">
      <c r="H2" s="193" t="s">
        <v>75</v>
      </c>
      <c r="I2" t="str">
        <f>IFERROR(VLOOKUP(I$1,$I$13:$T$18,MATCH($H2,$I$13:$T$13,0),FALSE),"0")</f>
        <v>0</v>
      </c>
      <c r="J2">
        <f t="shared" ref="J2" si="0">IFERROR(VLOOKUP(J$1,$H$37:$Y$51,MATCH($H2,$H$37:$Y$37,0),FALSE),"0")</f>
        <v>47</v>
      </c>
      <c r="K2">
        <f t="shared" ref="K2:Y6" si="1">IFERROR(VLOOKUP(K$1,$H$37:$Y$51,MATCH($H2,$H$37:$Y$37,0),FALSE),"0")</f>
        <v>33</v>
      </c>
      <c r="L2">
        <f t="shared" si="1"/>
        <v>4102</v>
      </c>
      <c r="M2">
        <f t="shared" si="1"/>
        <v>10</v>
      </c>
      <c r="N2">
        <f t="shared" si="1"/>
        <v>18</v>
      </c>
      <c r="O2">
        <f t="shared" si="1"/>
        <v>16</v>
      </c>
      <c r="P2" t="str">
        <f t="shared" si="1"/>
        <v>0</v>
      </c>
      <c r="Q2">
        <f t="shared" si="1"/>
        <v>32</v>
      </c>
      <c r="R2">
        <f t="shared" si="1"/>
        <v>1</v>
      </c>
      <c r="S2">
        <f t="shared" si="1"/>
        <v>8</v>
      </c>
      <c r="T2">
        <f t="shared" si="1"/>
        <v>17</v>
      </c>
      <c r="V2" t="str">
        <f t="shared" si="1"/>
        <v>0</v>
      </c>
      <c r="W2">
        <f t="shared" si="1"/>
        <v>2828</v>
      </c>
      <c r="X2">
        <f t="shared" si="1"/>
        <v>2595</v>
      </c>
      <c r="Y2">
        <f t="shared" si="1"/>
        <v>9926</v>
      </c>
    </row>
    <row r="3" spans="1:25" x14ac:dyDescent="0.25">
      <c r="A3" t="s">
        <v>186</v>
      </c>
      <c r="B3" s="8">
        <v>44929.404861111114</v>
      </c>
      <c r="C3" t="s">
        <v>206</v>
      </c>
      <c r="D3" s="7">
        <v>44927</v>
      </c>
      <c r="H3" s="194" t="s">
        <v>105</v>
      </c>
      <c r="I3" t="str">
        <f t="shared" ref="I3:I6" si="2">IFERROR(VLOOKUP(I$1,$I$13:$Z$18,MATCH($H3,$I$13:$Z$13,0),FALSE),"0")</f>
        <v>0</v>
      </c>
      <c r="J3">
        <f t="shared" ref="J3:J6" si="3">IFERROR(VLOOKUP(J$1,$H$37:$Y$51,MATCH($H3,$H$37:$Y$37,0),FALSE),"0")</f>
        <v>113</v>
      </c>
      <c r="K3">
        <f t="shared" si="1"/>
        <v>162</v>
      </c>
      <c r="L3">
        <f t="shared" si="1"/>
        <v>2874</v>
      </c>
      <c r="M3">
        <f t="shared" si="1"/>
        <v>13</v>
      </c>
      <c r="N3">
        <f t="shared" si="1"/>
        <v>57</v>
      </c>
      <c r="O3">
        <f t="shared" si="1"/>
        <v>8</v>
      </c>
      <c r="P3" t="str">
        <f t="shared" si="1"/>
        <v>0</v>
      </c>
      <c r="Q3">
        <f t="shared" si="1"/>
        <v>121</v>
      </c>
      <c r="R3">
        <f t="shared" si="1"/>
        <v>12</v>
      </c>
      <c r="S3">
        <f t="shared" si="1"/>
        <v>91</v>
      </c>
      <c r="T3">
        <f t="shared" si="1"/>
        <v>12</v>
      </c>
      <c r="V3" t="str">
        <f t="shared" si="1"/>
        <v>0</v>
      </c>
      <c r="W3">
        <f t="shared" si="1"/>
        <v>2112</v>
      </c>
      <c r="X3">
        <f t="shared" si="1"/>
        <v>1954</v>
      </c>
      <c r="Y3">
        <f t="shared" si="1"/>
        <v>7223</v>
      </c>
    </row>
    <row r="4" spans="1:25" x14ac:dyDescent="0.25">
      <c r="H4" s="193" t="s">
        <v>106</v>
      </c>
      <c r="I4" t="str">
        <f t="shared" si="2"/>
        <v>0</v>
      </c>
      <c r="J4">
        <f t="shared" si="3"/>
        <v>92</v>
      </c>
      <c r="K4">
        <f t="shared" si="1"/>
        <v>53</v>
      </c>
      <c r="L4">
        <f t="shared" si="1"/>
        <v>6783</v>
      </c>
      <c r="M4">
        <f t="shared" si="1"/>
        <v>5</v>
      </c>
      <c r="N4">
        <f t="shared" si="1"/>
        <v>9</v>
      </c>
      <c r="O4">
        <f t="shared" si="1"/>
        <v>62</v>
      </c>
      <c r="P4" t="str">
        <f t="shared" si="1"/>
        <v>0</v>
      </c>
      <c r="Q4">
        <f t="shared" si="1"/>
        <v>40</v>
      </c>
      <c r="R4">
        <f t="shared" si="1"/>
        <v>5</v>
      </c>
      <c r="S4">
        <f t="shared" si="1"/>
        <v>9</v>
      </c>
      <c r="T4">
        <f t="shared" si="1"/>
        <v>24</v>
      </c>
      <c r="V4" t="str">
        <f t="shared" si="1"/>
        <v>0</v>
      </c>
      <c r="W4">
        <f t="shared" si="1"/>
        <v>5045</v>
      </c>
      <c r="X4">
        <f t="shared" si="1"/>
        <v>4544</v>
      </c>
      <c r="Y4">
        <f t="shared" si="1"/>
        <v>15925</v>
      </c>
    </row>
    <row r="5" spans="1:25" x14ac:dyDescent="0.25">
      <c r="A5" t="s">
        <v>187</v>
      </c>
      <c r="B5" t="s">
        <v>205</v>
      </c>
      <c r="C5" t="s">
        <v>207</v>
      </c>
      <c r="H5" s="194" t="s">
        <v>73</v>
      </c>
      <c r="I5" t="str">
        <f t="shared" si="2"/>
        <v>0</v>
      </c>
      <c r="J5">
        <f t="shared" si="3"/>
        <v>60</v>
      </c>
      <c r="K5">
        <f t="shared" si="1"/>
        <v>93</v>
      </c>
      <c r="L5">
        <f t="shared" si="1"/>
        <v>5514</v>
      </c>
      <c r="M5">
        <f t="shared" si="1"/>
        <v>10</v>
      </c>
      <c r="N5">
        <f t="shared" si="1"/>
        <v>20</v>
      </c>
      <c r="O5">
        <f t="shared" si="1"/>
        <v>23</v>
      </c>
      <c r="P5" t="str">
        <f t="shared" si="1"/>
        <v>0</v>
      </c>
      <c r="Q5">
        <f t="shared" si="1"/>
        <v>87</v>
      </c>
      <c r="R5">
        <f t="shared" si="1"/>
        <v>16</v>
      </c>
      <c r="S5">
        <f t="shared" si="1"/>
        <v>32</v>
      </c>
      <c r="T5">
        <f t="shared" si="1"/>
        <v>31</v>
      </c>
      <c r="V5" t="str">
        <f t="shared" si="1"/>
        <v>0</v>
      </c>
      <c r="W5">
        <f t="shared" si="1"/>
        <v>3979</v>
      </c>
      <c r="X5">
        <f t="shared" si="1"/>
        <v>3602</v>
      </c>
      <c r="Y5">
        <f t="shared" si="1"/>
        <v>15206</v>
      </c>
    </row>
    <row r="6" spans="1:25" x14ac:dyDescent="0.25">
      <c r="A6">
        <v>52597</v>
      </c>
      <c r="B6">
        <v>26379</v>
      </c>
      <c r="C6">
        <v>26218</v>
      </c>
      <c r="H6" s="193" t="s">
        <v>43</v>
      </c>
      <c r="I6" t="str">
        <f t="shared" si="2"/>
        <v>0</v>
      </c>
      <c r="J6">
        <f t="shared" si="3"/>
        <v>5</v>
      </c>
      <c r="K6">
        <f t="shared" si="1"/>
        <v>2</v>
      </c>
      <c r="L6">
        <f t="shared" si="1"/>
        <v>2123</v>
      </c>
      <c r="M6">
        <f t="shared" si="1"/>
        <v>0</v>
      </c>
      <c r="N6">
        <f t="shared" si="1"/>
        <v>2</v>
      </c>
      <c r="O6">
        <f t="shared" si="1"/>
        <v>1</v>
      </c>
      <c r="P6" t="str">
        <f t="shared" si="1"/>
        <v>0</v>
      </c>
      <c r="Q6">
        <f t="shared" si="1"/>
        <v>2</v>
      </c>
      <c r="R6">
        <f t="shared" si="1"/>
        <v>0</v>
      </c>
      <c r="S6">
        <f t="shared" si="1"/>
        <v>1</v>
      </c>
      <c r="T6">
        <f t="shared" si="1"/>
        <v>1</v>
      </c>
      <c r="V6" t="str">
        <f t="shared" si="1"/>
        <v>0</v>
      </c>
      <c r="W6">
        <f t="shared" si="1"/>
        <v>1469</v>
      </c>
      <c r="X6">
        <f t="shared" si="1"/>
        <v>1378</v>
      </c>
      <c r="Y6">
        <f t="shared" si="1"/>
        <v>5253</v>
      </c>
    </row>
    <row r="8" spans="1:25" x14ac:dyDescent="0.25">
      <c r="B8" t="s">
        <v>29</v>
      </c>
      <c r="C8" t="s">
        <v>249</v>
      </c>
    </row>
    <row r="9" spans="1:25" x14ac:dyDescent="0.25">
      <c r="A9" t="s">
        <v>188</v>
      </c>
    </row>
    <row r="10" spans="1:25" x14ac:dyDescent="0.25">
      <c r="A10" t="s">
        <v>250</v>
      </c>
      <c r="C10">
        <v>2925</v>
      </c>
    </row>
    <row r="11" spans="1:25" x14ac:dyDescent="0.25">
      <c r="A11" t="s">
        <v>271</v>
      </c>
      <c r="C11">
        <v>420</v>
      </c>
    </row>
    <row r="12" spans="1:25" x14ac:dyDescent="0.25">
      <c r="A12" t="s">
        <v>189</v>
      </c>
      <c r="C12">
        <v>418</v>
      </c>
    </row>
    <row r="13" spans="1:25" x14ac:dyDescent="0.25">
      <c r="A13" t="s">
        <v>193</v>
      </c>
      <c r="C13">
        <v>42</v>
      </c>
      <c r="I13" s="24" t="s">
        <v>239</v>
      </c>
      <c r="J13" t="s">
        <v>273</v>
      </c>
      <c r="K13" t="s">
        <v>165</v>
      </c>
      <c r="L13" t="s">
        <v>274</v>
      </c>
      <c r="M13" t="s">
        <v>275</v>
      </c>
      <c r="N13" t="s">
        <v>276</v>
      </c>
      <c r="O13" t="s">
        <v>277</v>
      </c>
      <c r="P13" t="s">
        <v>278</v>
      </c>
      <c r="Q13" t="s">
        <v>279</v>
      </c>
      <c r="R13" t="s">
        <v>283</v>
      </c>
      <c r="S13" t="s">
        <v>280</v>
      </c>
      <c r="T13" t="s">
        <v>281</v>
      </c>
      <c r="U13" t="s">
        <v>282</v>
      </c>
    </row>
    <row r="14" spans="1:25" x14ac:dyDescent="0.25">
      <c r="A14" t="s">
        <v>194</v>
      </c>
      <c r="C14">
        <v>95</v>
      </c>
      <c r="I14" s="24">
        <v>44775</v>
      </c>
      <c r="J14" t="s">
        <v>267</v>
      </c>
      <c r="K14" t="s">
        <v>75</v>
      </c>
      <c r="L14">
        <v>9958</v>
      </c>
      <c r="M14">
        <v>40</v>
      </c>
      <c r="N14">
        <v>5</v>
      </c>
      <c r="O14">
        <v>4</v>
      </c>
      <c r="P14">
        <v>69</v>
      </c>
      <c r="Q14">
        <v>65</v>
      </c>
      <c r="R14">
        <v>54</v>
      </c>
      <c r="S14">
        <v>4139</v>
      </c>
      <c r="T14">
        <v>2848</v>
      </c>
      <c r="U14">
        <v>2619</v>
      </c>
    </row>
    <row r="15" spans="1:25" x14ac:dyDescent="0.25">
      <c r="A15" t="s">
        <v>195</v>
      </c>
      <c r="C15">
        <v>269</v>
      </c>
      <c r="I15" s="24">
        <v>44775</v>
      </c>
      <c r="J15" t="s">
        <v>268</v>
      </c>
      <c r="K15" t="s">
        <v>105</v>
      </c>
      <c r="L15">
        <v>7181</v>
      </c>
      <c r="M15">
        <v>79</v>
      </c>
      <c r="N15">
        <v>2</v>
      </c>
      <c r="O15">
        <v>1</v>
      </c>
      <c r="P15">
        <v>109</v>
      </c>
      <c r="Q15">
        <v>91</v>
      </c>
      <c r="R15">
        <v>67</v>
      </c>
      <c r="S15">
        <v>2896</v>
      </c>
      <c r="T15">
        <v>2156</v>
      </c>
      <c r="U15">
        <v>2000</v>
      </c>
    </row>
    <row r="16" spans="1:25" x14ac:dyDescent="0.25">
      <c r="A16" t="s">
        <v>196</v>
      </c>
      <c r="C16">
        <v>0</v>
      </c>
      <c r="I16" s="24">
        <v>44775</v>
      </c>
      <c r="J16" t="s">
        <v>269</v>
      </c>
      <c r="K16" t="s">
        <v>106</v>
      </c>
      <c r="L16">
        <v>15938</v>
      </c>
      <c r="M16">
        <v>114</v>
      </c>
      <c r="N16">
        <v>6</v>
      </c>
      <c r="O16">
        <v>5</v>
      </c>
      <c r="P16">
        <v>48</v>
      </c>
      <c r="Q16">
        <v>40</v>
      </c>
      <c r="R16">
        <v>12</v>
      </c>
      <c r="S16">
        <v>6842</v>
      </c>
      <c r="T16">
        <v>5050</v>
      </c>
      <c r="U16">
        <v>4568</v>
      </c>
    </row>
    <row r="17" spans="1:36" x14ac:dyDescent="0.25">
      <c r="A17" t="s">
        <v>272</v>
      </c>
      <c r="C17">
        <v>197</v>
      </c>
      <c r="I17" s="24">
        <v>44775</v>
      </c>
      <c r="J17" t="s">
        <v>270</v>
      </c>
      <c r="K17" t="s">
        <v>73</v>
      </c>
      <c r="L17">
        <v>15046</v>
      </c>
      <c r="M17">
        <v>177</v>
      </c>
      <c r="N17">
        <v>36</v>
      </c>
      <c r="O17">
        <v>22</v>
      </c>
      <c r="P17">
        <v>151</v>
      </c>
      <c r="Q17">
        <v>141</v>
      </c>
      <c r="R17">
        <v>83</v>
      </c>
      <c r="S17">
        <v>5531</v>
      </c>
      <c r="T17">
        <v>4003</v>
      </c>
      <c r="U17">
        <v>3629</v>
      </c>
    </row>
    <row r="18" spans="1:36" x14ac:dyDescent="0.25">
      <c r="A18" t="s">
        <v>197</v>
      </c>
      <c r="C18">
        <v>195</v>
      </c>
      <c r="I18" s="24">
        <v>44775</v>
      </c>
      <c r="J18" t="s">
        <v>111</v>
      </c>
      <c r="K18" t="s">
        <v>43</v>
      </c>
      <c r="L18">
        <v>5093</v>
      </c>
      <c r="M18">
        <v>3</v>
      </c>
      <c r="P18">
        <v>3</v>
      </c>
      <c r="Q18">
        <v>2</v>
      </c>
      <c r="R18">
        <v>2</v>
      </c>
      <c r="S18">
        <v>2103</v>
      </c>
      <c r="T18">
        <v>1434</v>
      </c>
      <c r="U18">
        <v>1346</v>
      </c>
    </row>
    <row r="19" spans="1:36" x14ac:dyDescent="0.25">
      <c r="A19" t="s">
        <v>198</v>
      </c>
      <c r="C19">
        <v>42</v>
      </c>
    </row>
    <row r="20" spans="1:36" x14ac:dyDescent="0.25">
      <c r="A20" t="s">
        <v>199</v>
      </c>
      <c r="C20">
        <v>47</v>
      </c>
    </row>
    <row r="21" spans="1:36" x14ac:dyDescent="0.25">
      <c r="A21" t="s">
        <v>200</v>
      </c>
      <c r="C21">
        <v>23</v>
      </c>
    </row>
    <row r="22" spans="1:36" x14ac:dyDescent="0.25">
      <c r="A22" t="s">
        <v>201</v>
      </c>
      <c r="C22">
        <v>0</v>
      </c>
    </row>
    <row r="23" spans="1:36" x14ac:dyDescent="0.25">
      <c r="A23" t="s">
        <v>192</v>
      </c>
      <c r="C23">
        <v>1550</v>
      </c>
    </row>
    <row r="24" spans="1:36" x14ac:dyDescent="0.25">
      <c r="A24" t="s">
        <v>202</v>
      </c>
      <c r="C24">
        <v>1546</v>
      </c>
    </row>
    <row r="25" spans="1:36" x14ac:dyDescent="0.25">
      <c r="A25" t="s">
        <v>203</v>
      </c>
      <c r="C25">
        <v>1522</v>
      </c>
    </row>
    <row r="26" spans="1:36" x14ac:dyDescent="0.25">
      <c r="A26" t="s">
        <v>90</v>
      </c>
      <c r="C26">
        <v>5342</v>
      </c>
    </row>
    <row r="27" spans="1:36" x14ac:dyDescent="0.25">
      <c r="A27" t="s">
        <v>271</v>
      </c>
      <c r="C27">
        <v>320</v>
      </c>
    </row>
    <row r="28" spans="1:36" x14ac:dyDescent="0.25">
      <c r="A28" t="s">
        <v>189</v>
      </c>
      <c r="C28">
        <v>318</v>
      </c>
      <c r="I28" t="s">
        <v>239</v>
      </c>
      <c r="J28" t="s">
        <v>252</v>
      </c>
      <c r="V28" t="s">
        <v>165</v>
      </c>
      <c r="W28" t="s">
        <v>253</v>
      </c>
      <c r="X28" t="s">
        <v>254</v>
      </c>
      <c r="Y28" t="s">
        <v>255</v>
      </c>
      <c r="Z28" t="s">
        <v>256</v>
      </c>
      <c r="AA28" t="s">
        <v>257</v>
      </c>
      <c r="AB28" t="s">
        <v>258</v>
      </c>
      <c r="AC28" t="s">
        <v>259</v>
      </c>
      <c r="AD28" t="s">
        <v>260</v>
      </c>
      <c r="AE28" t="s">
        <v>261</v>
      </c>
      <c r="AF28" t="s">
        <v>262</v>
      </c>
      <c r="AG28" t="s">
        <v>263</v>
      </c>
      <c r="AH28" t="s">
        <v>264</v>
      </c>
      <c r="AI28" t="s">
        <v>265</v>
      </c>
      <c r="AJ28" t="s">
        <v>266</v>
      </c>
    </row>
    <row r="29" spans="1:36" x14ac:dyDescent="0.25">
      <c r="A29" t="s">
        <v>193</v>
      </c>
      <c r="C29">
        <v>19</v>
      </c>
      <c r="I29" s="24">
        <v>44574</v>
      </c>
      <c r="J29" t="s">
        <v>267</v>
      </c>
      <c r="V29" t="s">
        <v>75</v>
      </c>
      <c r="W29">
        <v>9926</v>
      </c>
      <c r="X29">
        <v>47</v>
      </c>
      <c r="Y29">
        <v>45</v>
      </c>
      <c r="Z29">
        <v>10</v>
      </c>
      <c r="AA29">
        <v>18</v>
      </c>
      <c r="AB29">
        <v>16</v>
      </c>
      <c r="AC29">
        <v>33</v>
      </c>
      <c r="AD29">
        <v>32</v>
      </c>
      <c r="AE29">
        <v>1</v>
      </c>
      <c r="AF29">
        <v>8</v>
      </c>
      <c r="AG29">
        <v>17</v>
      </c>
      <c r="AH29">
        <v>4102</v>
      </c>
      <c r="AI29">
        <v>2828</v>
      </c>
      <c r="AJ29">
        <v>2595</v>
      </c>
    </row>
    <row r="30" spans="1:36" x14ac:dyDescent="0.25">
      <c r="A30" t="s">
        <v>194</v>
      </c>
      <c r="C30">
        <v>11</v>
      </c>
      <c r="I30" s="24">
        <v>44574</v>
      </c>
      <c r="J30" t="s">
        <v>268</v>
      </c>
      <c r="V30" t="s">
        <v>105</v>
      </c>
      <c r="W30">
        <v>7223</v>
      </c>
      <c r="X30">
        <v>113</v>
      </c>
      <c r="Y30">
        <v>78</v>
      </c>
      <c r="Z30">
        <v>13</v>
      </c>
      <c r="AA30">
        <v>57</v>
      </c>
      <c r="AB30">
        <v>8</v>
      </c>
      <c r="AC30">
        <v>162</v>
      </c>
      <c r="AD30">
        <v>121</v>
      </c>
      <c r="AE30">
        <v>12</v>
      </c>
      <c r="AF30">
        <v>91</v>
      </c>
      <c r="AG30">
        <v>12</v>
      </c>
      <c r="AH30">
        <v>2874</v>
      </c>
      <c r="AI30">
        <v>2112</v>
      </c>
      <c r="AJ30">
        <v>1954</v>
      </c>
    </row>
    <row r="31" spans="1:36" x14ac:dyDescent="0.25">
      <c r="A31" t="s">
        <v>195</v>
      </c>
      <c r="C31">
        <v>288</v>
      </c>
      <c r="I31" s="24">
        <v>44574</v>
      </c>
      <c r="J31" t="s">
        <v>269</v>
      </c>
      <c r="V31" t="s">
        <v>106</v>
      </c>
      <c r="W31">
        <v>15925</v>
      </c>
      <c r="X31">
        <v>92</v>
      </c>
      <c r="Y31">
        <v>79</v>
      </c>
      <c r="Z31">
        <v>5</v>
      </c>
      <c r="AA31">
        <v>9</v>
      </c>
      <c r="AB31">
        <v>62</v>
      </c>
      <c r="AC31">
        <v>53</v>
      </c>
      <c r="AD31">
        <v>40</v>
      </c>
      <c r="AE31">
        <v>5</v>
      </c>
      <c r="AF31">
        <v>9</v>
      </c>
      <c r="AG31">
        <v>24</v>
      </c>
      <c r="AH31">
        <v>6783</v>
      </c>
      <c r="AI31">
        <v>5045</v>
      </c>
      <c r="AJ31">
        <v>4544</v>
      </c>
    </row>
    <row r="32" spans="1:36" x14ac:dyDescent="0.25">
      <c r="A32" t="s">
        <v>196</v>
      </c>
      <c r="C32">
        <v>0</v>
      </c>
      <c r="I32" s="24">
        <v>44574</v>
      </c>
      <c r="J32" t="s">
        <v>270</v>
      </c>
      <c r="V32" t="s">
        <v>73</v>
      </c>
      <c r="W32">
        <v>15206</v>
      </c>
      <c r="X32">
        <v>60</v>
      </c>
      <c r="Y32">
        <v>55</v>
      </c>
      <c r="Z32">
        <v>10</v>
      </c>
      <c r="AA32">
        <v>20</v>
      </c>
      <c r="AB32">
        <v>23</v>
      </c>
      <c r="AC32">
        <v>93</v>
      </c>
      <c r="AD32">
        <v>87</v>
      </c>
      <c r="AE32">
        <v>16</v>
      </c>
      <c r="AF32">
        <v>32</v>
      </c>
      <c r="AG32">
        <v>31</v>
      </c>
      <c r="AH32">
        <v>5514</v>
      </c>
      <c r="AI32">
        <v>3979</v>
      </c>
      <c r="AJ32">
        <v>3602</v>
      </c>
    </row>
    <row r="33" spans="1:36" x14ac:dyDescent="0.25">
      <c r="A33" t="s">
        <v>272</v>
      </c>
      <c r="C33">
        <v>98</v>
      </c>
      <c r="I33" s="24">
        <v>44574</v>
      </c>
      <c r="J33" t="s">
        <v>111</v>
      </c>
      <c r="V33" t="s">
        <v>43</v>
      </c>
      <c r="W33">
        <v>5253</v>
      </c>
      <c r="X33">
        <v>5</v>
      </c>
      <c r="Y33">
        <v>3</v>
      </c>
      <c r="AA33">
        <v>2</v>
      </c>
      <c r="AB33">
        <v>1</v>
      </c>
      <c r="AC33">
        <v>2</v>
      </c>
      <c r="AD33">
        <v>2</v>
      </c>
      <c r="AF33">
        <v>1</v>
      </c>
      <c r="AG33">
        <v>1</v>
      </c>
      <c r="AH33">
        <v>2123</v>
      </c>
      <c r="AI33">
        <v>1469</v>
      </c>
      <c r="AJ33">
        <v>1378</v>
      </c>
    </row>
    <row r="34" spans="1:36" x14ac:dyDescent="0.25">
      <c r="A34" t="s">
        <v>197</v>
      </c>
      <c r="C34">
        <v>97</v>
      </c>
    </row>
    <row r="35" spans="1:36" x14ac:dyDescent="0.25">
      <c r="A35" t="s">
        <v>198</v>
      </c>
      <c r="C35">
        <v>36</v>
      </c>
      <c r="I35" t="s">
        <v>239</v>
      </c>
      <c r="J35">
        <v>44574</v>
      </c>
      <c r="V35">
        <v>44574</v>
      </c>
      <c r="W35">
        <v>44574</v>
      </c>
      <c r="X35">
        <v>44574</v>
      </c>
      <c r="Y35">
        <v>44574</v>
      </c>
    </row>
    <row r="36" spans="1:36" x14ac:dyDescent="0.25">
      <c r="A36" t="s">
        <v>199</v>
      </c>
      <c r="C36">
        <v>9</v>
      </c>
      <c r="I36" t="s">
        <v>252</v>
      </c>
      <c r="J36" t="s">
        <v>267</v>
      </c>
      <c r="V36" t="s">
        <v>268</v>
      </c>
      <c r="W36" t="s">
        <v>269</v>
      </c>
      <c r="X36" t="s">
        <v>270</v>
      </c>
      <c r="Y36" t="s">
        <v>111</v>
      </c>
    </row>
    <row r="37" spans="1:36" x14ac:dyDescent="0.25">
      <c r="A37" t="s">
        <v>200</v>
      </c>
      <c r="C37">
        <v>24</v>
      </c>
      <c r="I37" t="s">
        <v>165</v>
      </c>
      <c r="J37" t="s">
        <v>75</v>
      </c>
      <c r="V37" t="s">
        <v>105</v>
      </c>
      <c r="W37" t="s">
        <v>106</v>
      </c>
      <c r="X37" t="s">
        <v>73</v>
      </c>
      <c r="Y37" t="s">
        <v>43</v>
      </c>
    </row>
    <row r="38" spans="1:36" x14ac:dyDescent="0.25">
      <c r="A38" t="s">
        <v>201</v>
      </c>
      <c r="C38">
        <v>0</v>
      </c>
      <c r="H38" t="s">
        <v>204</v>
      </c>
      <c r="I38" t="s">
        <v>253</v>
      </c>
      <c r="J38">
        <v>9926</v>
      </c>
      <c r="V38">
        <v>7223</v>
      </c>
      <c r="W38">
        <v>15925</v>
      </c>
      <c r="X38">
        <v>15206</v>
      </c>
      <c r="Y38">
        <v>5253</v>
      </c>
    </row>
    <row r="39" spans="1:36" x14ac:dyDescent="0.25">
      <c r="A39" t="s">
        <v>192</v>
      </c>
      <c r="C39">
        <v>2615</v>
      </c>
      <c r="H39" t="s">
        <v>190</v>
      </c>
      <c r="I39" t="s">
        <v>254</v>
      </c>
      <c r="J39">
        <v>47</v>
      </c>
      <c r="V39">
        <v>113</v>
      </c>
      <c r="W39">
        <v>92</v>
      </c>
      <c r="X39">
        <v>60</v>
      </c>
      <c r="Y39">
        <v>5</v>
      </c>
    </row>
    <row r="40" spans="1:36" x14ac:dyDescent="0.25">
      <c r="A40" t="s">
        <v>202</v>
      </c>
      <c r="C40">
        <v>2608</v>
      </c>
      <c r="H40" t="s">
        <v>189</v>
      </c>
      <c r="I40" t="s">
        <v>255</v>
      </c>
      <c r="J40">
        <v>45</v>
      </c>
      <c r="V40">
        <v>78</v>
      </c>
      <c r="W40">
        <v>79</v>
      </c>
      <c r="X40">
        <v>55</v>
      </c>
      <c r="Y40">
        <v>3</v>
      </c>
    </row>
    <row r="41" spans="1:36" x14ac:dyDescent="0.25">
      <c r="A41" t="s">
        <v>203</v>
      </c>
      <c r="C41">
        <v>2583</v>
      </c>
      <c r="H41" t="s">
        <v>193</v>
      </c>
      <c r="I41" t="s">
        <v>256</v>
      </c>
      <c r="J41">
        <v>10</v>
      </c>
      <c r="V41">
        <v>13</v>
      </c>
      <c r="W41">
        <v>5</v>
      </c>
      <c r="X41">
        <v>10</v>
      </c>
    </row>
    <row r="42" spans="1:36" x14ac:dyDescent="0.25">
      <c r="A42" t="s">
        <v>86</v>
      </c>
      <c r="C42">
        <v>3125</v>
      </c>
      <c r="H42" t="s">
        <v>194</v>
      </c>
      <c r="I42" t="s">
        <v>257</v>
      </c>
      <c r="J42">
        <v>18</v>
      </c>
      <c r="V42">
        <v>57</v>
      </c>
      <c r="W42">
        <v>9</v>
      </c>
      <c r="X42">
        <v>20</v>
      </c>
      <c r="Y42">
        <v>2</v>
      </c>
    </row>
    <row r="43" spans="1:36" x14ac:dyDescent="0.25">
      <c r="A43" t="s">
        <v>271</v>
      </c>
      <c r="C43">
        <v>326</v>
      </c>
      <c r="H43" t="s">
        <v>195</v>
      </c>
      <c r="I43" t="s">
        <v>258</v>
      </c>
      <c r="J43">
        <v>16</v>
      </c>
      <c r="V43">
        <v>8</v>
      </c>
      <c r="W43">
        <v>62</v>
      </c>
      <c r="X43">
        <v>23</v>
      </c>
      <c r="Y43">
        <v>1</v>
      </c>
    </row>
    <row r="44" spans="1:36" x14ac:dyDescent="0.25">
      <c r="A44" t="s">
        <v>189</v>
      </c>
      <c r="C44">
        <v>323</v>
      </c>
      <c r="H44" t="s">
        <v>191</v>
      </c>
      <c r="I44" t="s">
        <v>259</v>
      </c>
      <c r="J44">
        <v>33</v>
      </c>
      <c r="V44">
        <v>162</v>
      </c>
      <c r="W44">
        <v>53</v>
      </c>
      <c r="X44">
        <v>93</v>
      </c>
      <c r="Y44">
        <v>2</v>
      </c>
    </row>
    <row r="45" spans="1:36" x14ac:dyDescent="0.25">
      <c r="A45" t="s">
        <v>193</v>
      </c>
      <c r="C45">
        <v>1</v>
      </c>
      <c r="H45" t="s">
        <v>197</v>
      </c>
      <c r="I45" t="s">
        <v>260</v>
      </c>
      <c r="J45">
        <v>32</v>
      </c>
      <c r="V45">
        <v>121</v>
      </c>
      <c r="W45">
        <v>40</v>
      </c>
      <c r="X45">
        <v>87</v>
      </c>
      <c r="Y45">
        <v>2</v>
      </c>
    </row>
    <row r="46" spans="1:36" x14ac:dyDescent="0.25">
      <c r="A46" t="s">
        <v>194</v>
      </c>
      <c r="C46">
        <v>5</v>
      </c>
      <c r="H46" t="s">
        <v>198</v>
      </c>
      <c r="I46" t="s">
        <v>261</v>
      </c>
      <c r="J46">
        <v>1</v>
      </c>
      <c r="V46">
        <v>12</v>
      </c>
      <c r="W46">
        <v>5</v>
      </c>
      <c r="X46">
        <v>16</v>
      </c>
    </row>
    <row r="47" spans="1:36" x14ac:dyDescent="0.25">
      <c r="A47" t="s">
        <v>195</v>
      </c>
      <c r="C47">
        <v>317</v>
      </c>
      <c r="H47" t="s">
        <v>199</v>
      </c>
      <c r="I47" t="s">
        <v>262</v>
      </c>
      <c r="J47">
        <v>8</v>
      </c>
      <c r="V47">
        <v>91</v>
      </c>
      <c r="W47">
        <v>9</v>
      </c>
      <c r="X47">
        <v>32</v>
      </c>
      <c r="Y47">
        <v>1</v>
      </c>
    </row>
    <row r="48" spans="1:36" x14ac:dyDescent="0.25">
      <c r="A48" t="s">
        <v>196</v>
      </c>
      <c r="C48">
        <v>0</v>
      </c>
      <c r="H48" t="s">
        <v>200</v>
      </c>
      <c r="I48" t="s">
        <v>263</v>
      </c>
      <c r="J48">
        <v>17</v>
      </c>
      <c r="V48">
        <v>12</v>
      </c>
      <c r="W48">
        <v>24</v>
      </c>
      <c r="X48">
        <v>31</v>
      </c>
      <c r="Y48">
        <v>1</v>
      </c>
    </row>
    <row r="49" spans="1:25" x14ac:dyDescent="0.25">
      <c r="A49" t="s">
        <v>272</v>
      </c>
      <c r="C49">
        <v>60</v>
      </c>
      <c r="H49" t="s">
        <v>192</v>
      </c>
      <c r="I49" t="s">
        <v>264</v>
      </c>
      <c r="J49">
        <v>4102</v>
      </c>
      <c r="V49">
        <v>2874</v>
      </c>
      <c r="W49">
        <v>6783</v>
      </c>
      <c r="X49">
        <v>5514</v>
      </c>
      <c r="Y49">
        <v>2123</v>
      </c>
    </row>
    <row r="50" spans="1:25" x14ac:dyDescent="0.25">
      <c r="A50" t="s">
        <v>197</v>
      </c>
      <c r="C50">
        <v>60</v>
      </c>
      <c r="H50" t="s">
        <v>202</v>
      </c>
      <c r="I50" t="s">
        <v>265</v>
      </c>
      <c r="J50">
        <v>2828</v>
      </c>
      <c r="V50">
        <v>2112</v>
      </c>
      <c r="W50">
        <v>5045</v>
      </c>
      <c r="X50">
        <v>3979</v>
      </c>
      <c r="Y50">
        <v>1469</v>
      </c>
    </row>
    <row r="51" spans="1:25" x14ac:dyDescent="0.25">
      <c r="A51" t="s">
        <v>198</v>
      </c>
      <c r="C51">
        <v>1</v>
      </c>
      <c r="H51" t="s">
        <v>203</v>
      </c>
      <c r="I51" t="s">
        <v>266</v>
      </c>
      <c r="J51">
        <v>2595</v>
      </c>
      <c r="V51">
        <v>1954</v>
      </c>
      <c r="W51">
        <v>4544</v>
      </c>
      <c r="X51">
        <v>3602</v>
      </c>
      <c r="Y51">
        <v>1378</v>
      </c>
    </row>
    <row r="52" spans="1:25" x14ac:dyDescent="0.25">
      <c r="A52" t="s">
        <v>199</v>
      </c>
      <c r="C52">
        <v>7</v>
      </c>
    </row>
    <row r="53" spans="1:25" x14ac:dyDescent="0.25">
      <c r="A53" t="s">
        <v>200</v>
      </c>
      <c r="C53">
        <v>24</v>
      </c>
      <c r="I53" t="s">
        <v>189</v>
      </c>
    </row>
    <row r="54" spans="1:25" x14ac:dyDescent="0.25">
      <c r="A54" t="s">
        <v>201</v>
      </c>
      <c r="C54">
        <v>0</v>
      </c>
      <c r="I54" t="s">
        <v>190</v>
      </c>
    </row>
    <row r="55" spans="1:25" x14ac:dyDescent="0.25">
      <c r="A55" t="s">
        <v>192</v>
      </c>
      <c r="C55">
        <v>1540</v>
      </c>
      <c r="I55" t="s">
        <v>191</v>
      </c>
    </row>
    <row r="56" spans="1:25" x14ac:dyDescent="0.25">
      <c r="A56" t="s">
        <v>202</v>
      </c>
      <c r="C56">
        <v>1529</v>
      </c>
      <c r="I56" t="s">
        <v>192</v>
      </c>
    </row>
    <row r="57" spans="1:25" x14ac:dyDescent="0.25">
      <c r="A57" t="s">
        <v>203</v>
      </c>
      <c r="C57">
        <v>1524</v>
      </c>
      <c r="I57" t="s">
        <v>193</v>
      </c>
    </row>
    <row r="58" spans="1:25" x14ac:dyDescent="0.25">
      <c r="A58" t="s">
        <v>251</v>
      </c>
      <c r="C58">
        <v>4351</v>
      </c>
      <c r="I58" t="s">
        <v>194</v>
      </c>
    </row>
    <row r="59" spans="1:25" x14ac:dyDescent="0.25">
      <c r="A59" t="s">
        <v>271</v>
      </c>
      <c r="C59">
        <v>344</v>
      </c>
      <c r="I59" t="s">
        <v>195</v>
      </c>
    </row>
    <row r="60" spans="1:25" x14ac:dyDescent="0.25">
      <c r="A60" t="s">
        <v>189</v>
      </c>
      <c r="C60">
        <v>342</v>
      </c>
      <c r="I60" t="s">
        <v>196</v>
      </c>
    </row>
    <row r="61" spans="1:25" x14ac:dyDescent="0.25">
      <c r="A61" t="s">
        <v>193</v>
      </c>
      <c r="C61">
        <v>37</v>
      </c>
      <c r="I61" t="s">
        <v>197</v>
      </c>
    </row>
    <row r="62" spans="1:25" x14ac:dyDescent="0.25">
      <c r="A62" t="s">
        <v>194</v>
      </c>
      <c r="C62">
        <v>91</v>
      </c>
      <c r="I62" t="s">
        <v>198</v>
      </c>
    </row>
    <row r="63" spans="1:25" x14ac:dyDescent="0.25">
      <c r="A63" t="s">
        <v>195</v>
      </c>
      <c r="C63">
        <v>214</v>
      </c>
      <c r="I63" t="s">
        <v>199</v>
      </c>
    </row>
    <row r="64" spans="1:25" x14ac:dyDescent="0.25">
      <c r="A64" t="s">
        <v>196</v>
      </c>
      <c r="C64">
        <v>0</v>
      </c>
      <c r="I64" t="s">
        <v>200</v>
      </c>
    </row>
    <row r="65" spans="1:9" x14ac:dyDescent="0.25">
      <c r="A65" t="s">
        <v>272</v>
      </c>
      <c r="C65">
        <v>144</v>
      </c>
      <c r="I65" t="s">
        <v>201</v>
      </c>
    </row>
    <row r="66" spans="1:9" x14ac:dyDescent="0.25">
      <c r="A66" t="s">
        <v>197</v>
      </c>
      <c r="C66">
        <v>142</v>
      </c>
      <c r="I66" t="s">
        <v>202</v>
      </c>
    </row>
    <row r="67" spans="1:9" x14ac:dyDescent="0.25">
      <c r="A67" t="s">
        <v>198</v>
      </c>
      <c r="C67">
        <v>38</v>
      </c>
      <c r="I67" t="s">
        <v>203</v>
      </c>
    </row>
    <row r="68" spans="1:9" x14ac:dyDescent="0.25">
      <c r="A68" t="s">
        <v>199</v>
      </c>
      <c r="C68">
        <v>34</v>
      </c>
      <c r="I68" t="s">
        <v>204</v>
      </c>
    </row>
    <row r="69" spans="1:9" x14ac:dyDescent="0.25">
      <c r="A69" t="s">
        <v>200</v>
      </c>
      <c r="C69">
        <v>22</v>
      </c>
    </row>
    <row r="70" spans="1:9" x14ac:dyDescent="0.25">
      <c r="A70" t="s">
        <v>201</v>
      </c>
      <c r="C70">
        <v>0</v>
      </c>
    </row>
    <row r="71" spans="1:9" x14ac:dyDescent="0.25">
      <c r="A71" t="s">
        <v>192</v>
      </c>
      <c r="C71">
        <v>2020</v>
      </c>
    </row>
    <row r="72" spans="1:9" x14ac:dyDescent="0.25">
      <c r="A72" t="s">
        <v>202</v>
      </c>
      <c r="C72">
        <v>2007</v>
      </c>
    </row>
    <row r="73" spans="1:9" x14ac:dyDescent="0.25">
      <c r="A73" t="s">
        <v>203</v>
      </c>
      <c r="C73">
        <v>1984</v>
      </c>
    </row>
    <row r="74" spans="1:9" x14ac:dyDescent="0.25">
      <c r="A74" t="s">
        <v>111</v>
      </c>
      <c r="C74">
        <v>3520</v>
      </c>
    </row>
    <row r="75" spans="1:9" x14ac:dyDescent="0.25">
      <c r="A75" t="s">
        <v>271</v>
      </c>
      <c r="C75">
        <v>11</v>
      </c>
    </row>
    <row r="76" spans="1:9" x14ac:dyDescent="0.25">
      <c r="A76" t="s">
        <v>189</v>
      </c>
      <c r="C76">
        <v>11</v>
      </c>
    </row>
    <row r="77" spans="1:9" x14ac:dyDescent="0.25">
      <c r="A77" t="s">
        <v>193</v>
      </c>
      <c r="C77">
        <v>10</v>
      </c>
    </row>
    <row r="78" spans="1:9" x14ac:dyDescent="0.25">
      <c r="A78" t="s">
        <v>194</v>
      </c>
      <c r="C78">
        <v>1</v>
      </c>
    </row>
    <row r="79" spans="1:9" x14ac:dyDescent="0.25">
      <c r="A79" t="s">
        <v>195</v>
      </c>
      <c r="C79">
        <v>0</v>
      </c>
    </row>
    <row r="80" spans="1:9" x14ac:dyDescent="0.25">
      <c r="A80" t="s">
        <v>196</v>
      </c>
      <c r="C80">
        <v>0</v>
      </c>
    </row>
    <row r="81" spans="1:3" x14ac:dyDescent="0.25">
      <c r="A81" t="s">
        <v>272</v>
      </c>
      <c r="C81">
        <v>15</v>
      </c>
    </row>
    <row r="82" spans="1:3" x14ac:dyDescent="0.25">
      <c r="A82" t="s">
        <v>197</v>
      </c>
      <c r="C82">
        <v>15</v>
      </c>
    </row>
    <row r="83" spans="1:3" x14ac:dyDescent="0.25">
      <c r="A83" t="s">
        <v>198</v>
      </c>
      <c r="C83">
        <v>14</v>
      </c>
    </row>
    <row r="84" spans="1:3" x14ac:dyDescent="0.25">
      <c r="A84" t="s">
        <v>199</v>
      </c>
      <c r="C84">
        <v>1</v>
      </c>
    </row>
    <row r="85" spans="1:3" x14ac:dyDescent="0.25">
      <c r="A85" t="s">
        <v>200</v>
      </c>
      <c r="C85">
        <v>0</v>
      </c>
    </row>
    <row r="86" spans="1:3" x14ac:dyDescent="0.25">
      <c r="A86" t="s">
        <v>201</v>
      </c>
      <c r="C86">
        <v>0</v>
      </c>
    </row>
    <row r="87" spans="1:3" x14ac:dyDescent="0.25">
      <c r="A87" t="s">
        <v>192</v>
      </c>
      <c r="C87">
        <v>1589</v>
      </c>
    </row>
    <row r="88" spans="1:3" x14ac:dyDescent="0.25">
      <c r="A88" t="s">
        <v>202</v>
      </c>
      <c r="C88">
        <v>1578</v>
      </c>
    </row>
    <row r="89" spans="1:3" x14ac:dyDescent="0.25">
      <c r="A89" t="s">
        <v>203</v>
      </c>
      <c r="C89">
        <v>1561</v>
      </c>
    </row>
  </sheetData>
  <phoneticPr fontId="26" type="noConversion"/>
  <pageMargins left="0.7" right="0.7" top="0.75" bottom="0.75" header="0.3" footer="0.3"/>
  <tableParts count="1">
    <tablePart r:id="rId1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QMUL Document" ma:contentTypeID="0x0101005EA864BF41DF8A41860E925F5B29BCF500A47E9FC2E09B5546B1BA6A4FA297AE2C" ma:contentTypeVersion="30" ma:contentTypeDescription="" ma:contentTypeScope="" ma:versionID="1474fc30e3cb8bf5d6caab25257dbde0">
  <xsd:schema xmlns:xsd="http://www.w3.org/2001/XMLSchema" xmlns:xs="http://www.w3.org/2001/XMLSchema" xmlns:p="http://schemas.microsoft.com/office/2006/metadata/properties" xmlns:ns1="http://schemas.microsoft.com/sharepoint/v3" xmlns:ns2="d5efd484-15aa-41a0-83f6-0646502cb6d6" xmlns:ns3="45ae7f3d-bcd0-4e4b-af93-f03a9fbb19b5" xmlns:ns4="6649982f-b66b-4072-8006-4697fed55f9d" targetNamespace="http://schemas.microsoft.com/office/2006/metadata/properties" ma:root="true" ma:fieldsID="fca54edaf5435fda549922af2dc927b6" ns1:_="" ns2:_="" ns3:_="" ns4:_="">
    <xsd:import namespace="http://schemas.microsoft.com/sharepoint/v3"/>
    <xsd:import namespace="d5efd484-15aa-41a0-83f6-0646502cb6d6"/>
    <xsd:import namespace="45ae7f3d-bcd0-4e4b-af93-f03a9fbb19b5"/>
    <xsd:import namespace="6649982f-b66b-4072-8006-4697fed55f9d"/>
    <xsd:element name="properties">
      <xsd:complexType>
        <xsd:sequence>
          <xsd:element name="documentManagement">
            <xsd:complexType>
              <xsd:all>
                <xsd:element ref="ns1:QMULDocumentStatusTaxHTField0" minOccurs="0"/>
                <xsd:element ref="ns1:QMULDepartmentTaxHTField0" minOccurs="0"/>
                <xsd:element ref="ns1:QMULSchoolTaxHTField0" minOccurs="0"/>
                <xsd:element ref="ns1:QMULDocumentTypeTaxHTField0" minOccurs="0"/>
                <xsd:element ref="ns1:QMULLocationTaxHTField0" minOccurs="0"/>
                <xsd:element ref="ns1:QMULInformationClassificationTaxHTField0" minOccurs="0"/>
                <xsd:element ref="ns1:QMULAcademicYear" minOccurs="0"/>
                <xsd:element ref="ns1:QMULProject" minOccurs="0"/>
                <xsd:element ref="ns1:QMULReviewDate" minOccurs="0"/>
                <xsd:element ref="ns1:QMULOwner" minOccurs="0"/>
                <xsd:element ref="ns2:TaxKeywordTaxHTField" minOccurs="0"/>
                <xsd:element ref="ns2:TaxCatchAll" minOccurs="0"/>
                <xsd:element ref="ns2:TaxCatchAllLabel" minOccurs="0"/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KeyPoints" minOccurs="0"/>
                <xsd:element ref="ns3:MediaServiceKeyPoints" minOccurs="0"/>
                <xsd:element ref="ns4:SharedWithUsers" minOccurs="0"/>
                <xsd:element ref="ns4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QMULDocumentStatusTaxHTField0" ma:index="8" nillable="true" ma:taxonomy="true" ma:internalName="QMULDocumentStatusTaxHTField0" ma:taxonomyFieldName="QMULDocumentStatus" ma:displayName="Document Status" ma:default="" ma:fieldId="{083bdfb7-9f4e-4bc9-b582-62ed6b950f9e}" ma:sspId="9c18f9b8-5ae4-4f0b-a238-a922c51e2dda" ma:termSetId="780aba48-6c17-4ca0-84b9-f0207a095630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DepartmentTaxHTField0" ma:index="10" nillable="true" ma:taxonomy="true" ma:internalName="QMULDepartmentTaxHTField0" ma:taxonomyFieldName="QMULDepartment" ma:displayName="Department" ma:readOnly="false" ma:default="" ma:fieldId="{2a7d89f9-5f8e-4c42-ab4f-aa1fc3002ea0}" ma:sspId="9c18f9b8-5ae4-4f0b-a238-a922c51e2dda" ma:termSetId="28874c57-2df5-45e8-a804-d15afc96d4e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SchoolTaxHTField0" ma:index="12" nillable="true" ma:taxonomy="true" ma:internalName="QMULSchoolTaxHTField0" ma:taxonomyFieldName="QMULSchool" ma:displayName="School" ma:readOnly="false" ma:default="" ma:fieldId="{46346f8e-3161-4021-8b14-3dcca2e3ca8d}" ma:sspId="9c18f9b8-5ae4-4f0b-a238-a922c51e2dda" ma:termSetId="0f9f7e9f-7d6b-4cae-9193-a3e3200f87d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DocumentTypeTaxHTField0" ma:index="14" nillable="true" ma:taxonomy="true" ma:internalName="QMULDocumentTypeTaxHTField0" ma:taxonomyFieldName="QMULDocumentType" ma:displayName="Document Type" ma:default="" ma:fieldId="{2596c3af-0d77-4ea4-a15d-d3f71457b096}" ma:sspId="9c18f9b8-5ae4-4f0b-a238-a922c51e2dda" ma:termSetId="8ec3f1bd-c4f8-46a7-ae88-878ed3be39d1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LocationTaxHTField0" ma:index="16" nillable="true" ma:taxonomy="true" ma:internalName="QMULLocationTaxHTField0" ma:taxonomyFieldName="QMULLocation" ma:displayName="Location" ma:default="" ma:fieldId="{29b985f4-a05e-4f39-b5da-e9fb81ddaa79}" ma:sspId="9c18f9b8-5ae4-4f0b-a238-a922c51e2dda" ma:termSetId="5327f1c4-618f-4317-b197-fc29da39fa66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InformationClassificationTaxHTField0" ma:index="18" nillable="true" ma:taxonomy="true" ma:internalName="QMULInformationClassificationTaxHTField0" ma:taxonomyFieldName="QMULInformationClassification" ma:displayName="Information Classification" ma:default="1;#Protect|9124d8d9-0c1c-41e9-aa14-aba001e9a028" ma:fieldId="{57b3469a-2ea1-4a06-a2d1-c99ce62a5d6f}" ma:sspId="9c18f9b8-5ae4-4f0b-a238-a922c51e2dda" ma:termSetId="a3d7b326-4e5e-4e73-95fa-6245adfab113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AcademicYear" ma:index="20" nillable="true" ma:displayName="Academic Year" ma:decimals="0" ma:internalName="QMULAcademicYear" ma:percentage="FALSE">
      <xsd:simpleType>
        <xsd:restriction base="dms:Number">
          <xsd:maxInclusive value="9999"/>
          <xsd:minInclusive value="1000"/>
        </xsd:restriction>
      </xsd:simpleType>
    </xsd:element>
    <xsd:element name="QMULProject" ma:index="21" nillable="true" ma:displayName="Project" ma:internalName="QMULProject">
      <xsd:simpleType>
        <xsd:restriction base="dms:Text">
          <xsd:maxLength value="255"/>
        </xsd:restriction>
      </xsd:simpleType>
    </xsd:element>
    <xsd:element name="QMULReviewDate" ma:index="22" nillable="true" ma:displayName="Review Date" ma:format="DateOnly" ma:internalName="QMULReviewDate">
      <xsd:simpleType>
        <xsd:restriction base="dms:DateTime"/>
      </xsd:simpleType>
    </xsd:element>
    <xsd:element name="QMULOwner" ma:index="23" nillable="true" ma:displayName="Owner" ma:list="UserInfo" ma:SharePointGroup="0" ma:internalName="QMULOwner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efd484-15aa-41a0-83f6-0646502cb6d6" elementFormDefault="qualified">
    <xsd:import namespace="http://schemas.microsoft.com/office/2006/documentManagement/types"/>
    <xsd:import namespace="http://schemas.microsoft.com/office/infopath/2007/PartnerControls"/>
    <xsd:element name="TaxKeywordTaxHTField" ma:index="24" nillable="true" ma:taxonomy="true" ma:internalName="TaxKeywordTaxHTField" ma:taxonomyFieldName="TaxKeyword" ma:displayName="Enterprise Keywords" ma:fieldId="{23f27201-bee3-471e-b2e7-b64fd8b7ca38}" ma:taxonomyMulti="true" ma:sspId="9c18f9b8-5ae4-4f0b-a238-a922c51e2dda" ma:termSetId="00000000-0000-0000-0000-000000000000" ma:anchorId="00000000-0000-0000-0000-000000000000" ma:open="true" ma:isKeyword="true">
      <xsd:complexType>
        <xsd:sequence>
          <xsd:element ref="pc:Terms" minOccurs="0" maxOccurs="1"/>
        </xsd:sequence>
      </xsd:complexType>
    </xsd:element>
    <xsd:element name="TaxCatchAll" ma:index="26" nillable="true" ma:displayName="Taxonomy Catch All Column" ma:hidden="true" ma:list="{887198e4-4362-4530-96c9-172120469d18}" ma:internalName="TaxCatchAll" ma:showField="CatchAllData" ma:web="6649982f-b66b-4072-8006-4697fed55f9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27" nillable="true" ma:displayName="Taxonomy Catch All Column1" ma:hidden="true" ma:list="{887198e4-4362-4530-96c9-172120469d18}" ma:internalName="TaxCatchAllLabel" ma:readOnly="true" ma:showField="CatchAllDataLabel" ma:web="6649982f-b66b-4072-8006-4697fed55f9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5ae7f3d-bcd0-4e4b-af93-f03a9fbb19b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2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2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3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KeyPoints" ma:index="31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32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49982f-b66b-4072-8006-4697fed55f9d" elementFormDefault="qualified">
    <xsd:import namespace="http://schemas.microsoft.com/office/2006/documentManagement/types"/>
    <xsd:import namespace="http://schemas.microsoft.com/office/infopath/2007/PartnerControls"/>
    <xsd:element name="SharedWithUsers" ma:index="3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34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SharedContentType xmlns="Microsoft.SharePoint.Taxonomy.ContentTypeSync" SourceId="9c18f9b8-5ae4-4f0b-a238-a922c51e2dda" ContentTypeId="0x0101005EA864BF41DF8A41860E925F5B29BCF5" PreviousValue="false"/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QMULInformationClassificationTaxHTField0 xmlns="http://schemas.microsoft.com/sharepoint/v3">
      <Terms xmlns="http://schemas.microsoft.com/office/infopath/2007/PartnerControls">
        <TermInfo xmlns="http://schemas.microsoft.com/office/infopath/2007/PartnerControls">
          <TermName xmlns="http://schemas.microsoft.com/office/infopath/2007/PartnerControls">Protect</TermName>
          <TermId xmlns="http://schemas.microsoft.com/office/infopath/2007/PartnerControls">9124d8d9-0c1c-41e9-aa14-aba001e9a028</TermId>
        </TermInfo>
      </Terms>
    </QMULInformationClassificationTaxHTField0>
    <TaxKeywordTaxHTField xmlns="d5efd484-15aa-41a0-83f6-0646502cb6d6">
      <Terms xmlns="http://schemas.microsoft.com/office/infopath/2007/PartnerControls"/>
    </TaxKeywordTaxHTField>
    <TaxCatchAll xmlns="d5efd484-15aa-41a0-83f6-0646502cb6d6">
      <Value>1</Value>
    </TaxCatchAll>
    <QMULSchoolTaxHTField0 xmlns="http://schemas.microsoft.com/sharepoint/v3">
      <Terms xmlns="http://schemas.microsoft.com/office/infopath/2007/PartnerControls"/>
    </QMULSchoolTaxHTField0>
    <QMULDocumentTypeTaxHTField0 xmlns="http://schemas.microsoft.com/sharepoint/v3">
      <Terms xmlns="http://schemas.microsoft.com/office/infopath/2007/PartnerControls"/>
    </QMULDocumentTypeTaxHTField0>
    <QMULReviewDate xmlns="http://schemas.microsoft.com/sharepoint/v3" xsi:nil="true"/>
    <QMULOwner xmlns="http://schemas.microsoft.com/sharepoint/v3">
      <UserInfo>
        <DisplayName/>
        <AccountId xsi:nil="true"/>
        <AccountType/>
      </UserInfo>
    </QMULOwner>
    <QMULDepartmentTaxHTField0 xmlns="http://schemas.microsoft.com/sharepoint/v3">
      <Terms xmlns="http://schemas.microsoft.com/office/infopath/2007/PartnerControls"/>
    </QMULDepartmentTaxHTField0>
    <QMULAcademicYear xmlns="http://schemas.microsoft.com/sharepoint/v3" xsi:nil="true"/>
    <QMULLocationTaxHTField0 xmlns="http://schemas.microsoft.com/sharepoint/v3">
      <Terms xmlns="http://schemas.microsoft.com/office/infopath/2007/PartnerControls"/>
    </QMULLocationTaxHTField0>
    <QMULDocumentStatusTaxHTField0 xmlns="http://schemas.microsoft.com/sharepoint/v3">
      <Terms xmlns="http://schemas.microsoft.com/office/infopath/2007/PartnerControls"/>
    </QMULDocumentStatusTaxHTField0>
    <QMULProject xmlns="http://schemas.microsoft.com/sharepoint/v3" xsi:nil="true"/>
  </documentManagement>
</p:properties>
</file>

<file path=customXml/item4.xml>�� 
</file>

<file path=customXml/item5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60FED8C0-0733-490B-9451-ED7037F7E4D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d5efd484-15aa-41a0-83f6-0646502cb6d6"/>
    <ds:schemaRef ds:uri="45ae7f3d-bcd0-4e4b-af93-f03a9fbb19b5"/>
    <ds:schemaRef ds:uri="6649982f-b66b-4072-8006-4697fed55f9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2116A8E2-9E4B-40D2-A0C4-E11979294CF1}">
  <ds:schemaRefs>
    <ds:schemaRef ds:uri="Microsoft.SharePoint.Taxonomy.ContentTypeSync"/>
  </ds:schemaRefs>
</ds:datastoreItem>
</file>

<file path=customXml/itemProps3.xml><?xml version="1.0" encoding="utf-8"?>
<ds:datastoreItem xmlns:ds="http://schemas.openxmlformats.org/officeDocument/2006/customXml" ds:itemID="{7B7B648D-B08C-40DB-9971-0B02C9DBCB14}">
  <ds:schemaRefs>
    <ds:schemaRef ds:uri="http://schemas.microsoft.com/office/2006/metadata/properties"/>
    <ds:schemaRef ds:uri="http://schemas.microsoft.com/office/infopath/2007/PartnerControls"/>
    <ds:schemaRef ds:uri="http://schemas.microsoft.com/sharepoint/v3"/>
    <ds:schemaRef ds:uri="d5efd484-15aa-41a0-83f6-0646502cb6d6"/>
  </ds:schemaRefs>
</ds:datastoreItem>
</file>

<file path=customXml/itemProps4.xml><?xml version="1.0" encoding="utf-8"?>
<ds:datastoreItem xmlns:ds="http://schemas.openxmlformats.org/officeDocument/2006/customXml" ds:itemID="{A38EBE8B-BB60-4DC5-B4EB-2D3338862D3D}">
  <ds:schemaRefs>
    <ds:schemaRef ds:uri="http://schemas.microsoft.com/DataMashup"/>
  </ds:schemaRefs>
</ds:datastoreItem>
</file>

<file path=customXml/itemProps5.xml><?xml version="1.0" encoding="utf-8"?>
<ds:datastoreItem xmlns:ds="http://schemas.openxmlformats.org/officeDocument/2006/customXml" ds:itemID="{4478D936-2B19-43F1-8BF9-2245D4C027A3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10</vt:i4>
      </vt:variant>
      <vt:variant>
        <vt:lpstr>Named Ranges</vt:lpstr>
      </vt:variant>
      <vt:variant>
        <vt:i4>2</vt:i4>
      </vt:variant>
    </vt:vector>
  </HeadingPairs>
  <TitlesOfParts>
    <vt:vector size="12" baseType="lpstr">
      <vt:lpstr>Summary</vt:lpstr>
      <vt:lpstr>Waltham Forest NHS HC</vt:lpstr>
      <vt:lpstr>Fednet &amp; Practice Data</vt:lpstr>
      <vt:lpstr>Definitions</vt:lpstr>
      <vt:lpstr>CONTROL</vt:lpstr>
      <vt:lpstr>DATA</vt:lpstr>
      <vt:lpstr>Sheet1</vt:lpstr>
      <vt:lpstr>Sheet2</vt:lpstr>
      <vt:lpstr>Sheet3</vt:lpstr>
      <vt:lpstr>Sheet4</vt:lpstr>
      <vt:lpstr>'Fednet &amp; Practice Data'!QSelection</vt:lpstr>
      <vt:lpstr>QSelection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/>
  <dcterms:created xsi:type="dcterms:W3CDTF">2006-09-16T00:00:00Z</dcterms:created>
  <dcterms:modified xsi:type="dcterms:W3CDTF">2023-04-18T11:01:50Z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0x0101005EA864BF41DF8A41860E925F5B29BCF500A47E9FC2E09B5546B1BA6A4FA297AE2C</vt:lpwstr>
  </property>
  <property fmtid="{D5CDD505-2E9C-101B-9397-08002B2CF9AE}" pid="3" name="TaxKeyword">
    <vt:lpwstr/>
  </property>
  <property fmtid="{D5CDD505-2E9C-101B-9397-08002B2CF9AE}" pid="4" name="QMULDocumentStatus">
    <vt:lpwstr/>
  </property>
  <property fmtid="{D5CDD505-2E9C-101B-9397-08002B2CF9AE}" pid="5" name="QMULInformationClassification">
    <vt:lpwstr>1;#Protect|9124d8d9-0c1c-41e9-aa14-aba001e9a028</vt:lpwstr>
  </property>
  <property fmtid="{D5CDD505-2E9C-101B-9397-08002B2CF9AE}" pid="6" name="QMULLocation">
    <vt:lpwstr/>
  </property>
  <property fmtid="{D5CDD505-2E9C-101B-9397-08002B2CF9AE}" pid="7" name="QMULDepartment">
    <vt:lpwstr/>
  </property>
  <property fmtid="{D5CDD505-2E9C-101B-9397-08002B2CF9AE}" pid="8" name="QMULDocumentType">
    <vt:lpwstr/>
  </property>
  <property fmtid="{D5CDD505-2E9C-101B-9397-08002B2CF9AE}" pid="9" name="QMULSchool">
    <vt:lpwstr/>
  </property>
</Properties>
</file>