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tables/table3.xml" ContentType="application/vnd.openxmlformats-officedocument.spreadsheetml.table+xml"/>
  <Override PartName="/xl/queryTables/queryTable2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16"/>
  <workbookPr filterPrivacy="1" defaultThemeVersion="124226"/>
  <xr:revisionPtr revIDLastSave="82" documentId="11_EE458901D94E0FAC24D1FB8B2847D07476FF14E1" xr6:coauthVersionLast="47" xr6:coauthVersionMax="47" xr10:uidLastSave="{E37BAF8D-9EFB-4E9B-A097-C87AC81DA81D}"/>
  <bookViews>
    <workbookView xWindow="-120" yWindow="-120" windowWidth="29040" windowHeight="15840" tabRatio="814" xr2:uid="{00000000-000D-0000-FFFF-FFFF00000000}"/>
  </bookViews>
  <sheets>
    <sheet name="Summary" sheetId="34" r:id="rId1"/>
    <sheet name="Waltham Forest NHS HC" sheetId="32" r:id="rId2"/>
    <sheet name="Fednet &amp; Practice Data" sheetId="33" r:id="rId3"/>
    <sheet name="Definitions" sheetId="14" r:id="rId4"/>
    <sheet name="CONTROL" sheetId="31" state="hidden" r:id="rId5"/>
    <sheet name="DATA" sheetId="30" state="hidden" r:id="rId6"/>
    <sheet name="Sheet1" sheetId="37" state="hidden" r:id="rId7"/>
    <sheet name="Sheet2" sheetId="35" state="hidden" r:id="rId8"/>
    <sheet name="Sheet3" sheetId="36" state="hidden" r:id="rId9"/>
    <sheet name="Sheet4" sheetId="38" state="hidden" r:id="rId10"/>
  </sheets>
  <definedNames>
    <definedName name="DATA">INDIRECT(CONTROL!$C$5)</definedName>
    <definedName name="ExternalData_1" localSheetId="6" hidden="1">Sheet1!$A$1:$Q$6</definedName>
    <definedName name="ExternalData_1" localSheetId="9" hidden="1">Sheet4!$I$13:$J$18</definedName>
    <definedName name="IND">INDIRECT(CONTROL!$C$10)</definedName>
    <definedName name="NwID">INDIRECT(CONTROL!$C$11)</definedName>
    <definedName name="OrgID">INDIRECT(CONTROL!$C$8)</definedName>
    <definedName name="QSelection" localSheetId="2">Selection[Quarter]</definedName>
    <definedName name="QSelection">Selection[Quarter]</definedName>
    <definedName name="REL_D">INDIRECT(CONTROL!$C$9)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7" i="36" l="1"/>
  <c r="L7" i="36"/>
  <c r="K7" i="36"/>
  <c r="J7" i="36"/>
  <c r="I7" i="36"/>
  <c r="H7" i="36"/>
  <c r="G7" i="36"/>
  <c r="D7" i="36"/>
  <c r="D6" i="36"/>
  <c r="E6" i="36" s="1"/>
  <c r="F6" i="36" s="1"/>
  <c r="G6" i="36"/>
  <c r="H6" i="36"/>
  <c r="I6" i="36"/>
  <c r="J6" i="36"/>
  <c r="K6" i="36"/>
  <c r="L6" i="36"/>
  <c r="M6" i="36"/>
  <c r="E7" i="36" l="1"/>
  <c r="F7" i="36" s="1"/>
  <c r="J2" i="38"/>
  <c r="K2" i="38"/>
  <c r="L2" i="38"/>
  <c r="M2" i="38"/>
  <c r="N2" i="38"/>
  <c r="O2" i="38"/>
  <c r="P2" i="38"/>
  <c r="Q2" i="38"/>
  <c r="R2" i="38"/>
  <c r="S2" i="38"/>
  <c r="T2" i="38"/>
  <c r="U2" i="38"/>
  <c r="V2" i="38"/>
  <c r="W2" i="38"/>
  <c r="X2" i="38"/>
  <c r="J3" i="38"/>
  <c r="K3" i="38"/>
  <c r="L3" i="38"/>
  <c r="M3" i="38"/>
  <c r="N3" i="38"/>
  <c r="O3" i="38"/>
  <c r="P3" i="38"/>
  <c r="Q3" i="38"/>
  <c r="R3" i="38"/>
  <c r="S3" i="38"/>
  <c r="T3" i="38"/>
  <c r="U3" i="38"/>
  <c r="V3" i="38"/>
  <c r="W3" i="38"/>
  <c r="X3" i="38"/>
  <c r="J4" i="38"/>
  <c r="K4" i="38"/>
  <c r="L4" i="38"/>
  <c r="M4" i="38"/>
  <c r="N4" i="38"/>
  <c r="O4" i="38"/>
  <c r="P4" i="38"/>
  <c r="Q4" i="38"/>
  <c r="R4" i="38"/>
  <c r="S4" i="38"/>
  <c r="T4" i="38"/>
  <c r="U4" i="38"/>
  <c r="V4" i="38"/>
  <c r="W4" i="38"/>
  <c r="X4" i="38"/>
  <c r="J5" i="38"/>
  <c r="K5" i="38"/>
  <c r="L5" i="38"/>
  <c r="M5" i="38"/>
  <c r="N5" i="38"/>
  <c r="O5" i="38"/>
  <c r="P5" i="38"/>
  <c r="Q5" i="38"/>
  <c r="R5" i="38"/>
  <c r="S5" i="38"/>
  <c r="T5" i="38"/>
  <c r="U5" i="38"/>
  <c r="V5" i="38"/>
  <c r="W5" i="38"/>
  <c r="X5" i="38"/>
  <c r="J6" i="38"/>
  <c r="K6" i="38"/>
  <c r="L6" i="38"/>
  <c r="M6" i="38"/>
  <c r="N6" i="38"/>
  <c r="O6" i="38"/>
  <c r="P6" i="38"/>
  <c r="Q6" i="38"/>
  <c r="R6" i="38"/>
  <c r="S6" i="38"/>
  <c r="T6" i="38"/>
  <c r="U6" i="38"/>
  <c r="V6" i="38"/>
  <c r="W6" i="38"/>
  <c r="X6" i="38"/>
  <c r="I3" i="38"/>
  <c r="I4" i="38"/>
  <c r="I5" i="38"/>
  <c r="I6" i="38"/>
  <c r="I2" i="38"/>
  <c r="F5" i="37"/>
  <c r="G5" i="37"/>
  <c r="H5" i="37"/>
  <c r="I5" i="37"/>
  <c r="J5" i="37"/>
  <c r="K5" i="37"/>
  <c r="L5" i="37"/>
  <c r="M5" i="37"/>
  <c r="N5" i="37"/>
  <c r="O5" i="37"/>
  <c r="P5" i="37"/>
  <c r="Q5" i="37"/>
  <c r="E5" i="37"/>
  <c r="D5" i="37"/>
  <c r="C5" i="37"/>
  <c r="D4" i="37"/>
  <c r="E4" i="37"/>
  <c r="F4" i="37"/>
  <c r="G4" i="37"/>
  <c r="H4" i="37"/>
  <c r="I4" i="37"/>
  <c r="J4" i="37"/>
  <c r="K4" i="37"/>
  <c r="L4" i="37"/>
  <c r="M4" i="37"/>
  <c r="N4" i="37"/>
  <c r="O4" i="37"/>
  <c r="P4" i="37"/>
  <c r="Q4" i="37"/>
  <c r="C4" i="37"/>
  <c r="D2" i="37"/>
  <c r="E2" i="37"/>
  <c r="F2" i="37"/>
  <c r="G2" i="37"/>
  <c r="H2" i="37"/>
  <c r="I2" i="37"/>
  <c r="J2" i="37"/>
  <c r="K2" i="37"/>
  <c r="L2" i="37"/>
  <c r="M2" i="37"/>
  <c r="N2" i="37"/>
  <c r="O2" i="37"/>
  <c r="P2" i="37"/>
  <c r="Q2" i="37"/>
  <c r="C2" i="37"/>
  <c r="D3" i="37"/>
  <c r="E3" i="37"/>
  <c r="F3" i="37"/>
  <c r="G3" i="37"/>
  <c r="H3" i="37"/>
  <c r="I3" i="37"/>
  <c r="J3" i="37"/>
  <c r="K3" i="37"/>
  <c r="L3" i="37"/>
  <c r="M3" i="37"/>
  <c r="N3" i="37"/>
  <c r="O3" i="37"/>
  <c r="P3" i="37"/>
  <c r="Q3" i="37"/>
  <c r="C3" i="37"/>
  <c r="D6" i="37"/>
  <c r="E6" i="37"/>
  <c r="F6" i="37"/>
  <c r="G6" i="37"/>
  <c r="H6" i="37"/>
  <c r="I6" i="37"/>
  <c r="J6" i="37"/>
  <c r="K6" i="37"/>
  <c r="L6" i="37"/>
  <c r="M6" i="37"/>
  <c r="N6" i="37"/>
  <c r="O6" i="37"/>
  <c r="P6" i="37"/>
  <c r="Q6" i="37"/>
  <c r="C6" i="37"/>
  <c r="A1" i="33"/>
  <c r="B91" i="30"/>
  <c r="B92" i="30"/>
  <c r="B93" i="30"/>
  <c r="B94" i="30"/>
  <c r="B95" i="30"/>
  <c r="B96" i="30"/>
  <c r="B97" i="30"/>
  <c r="B98" i="30"/>
  <c r="B99" i="30"/>
  <c r="B100" i="30"/>
  <c r="B101" i="30"/>
  <c r="B102" i="30"/>
  <c r="B103" i="30"/>
  <c r="B104" i="30"/>
  <c r="B105" i="30"/>
  <c r="B106" i="30"/>
  <c r="B107" i="30"/>
  <c r="B108" i="30"/>
  <c r="B109" i="30"/>
  <c r="B110" i="30"/>
  <c r="B111" i="30"/>
  <c r="B112" i="30"/>
  <c r="B113" i="30"/>
  <c r="B114" i="30"/>
  <c r="B115" i="30"/>
  <c r="B116" i="30"/>
  <c r="B117" i="30"/>
  <c r="B118" i="30"/>
  <c r="L3" i="30"/>
  <c r="M3" i="30"/>
  <c r="N3" i="30"/>
  <c r="O3" i="30"/>
  <c r="P3" i="30"/>
  <c r="Q3" i="30"/>
  <c r="R3" i="30"/>
  <c r="S3" i="30"/>
  <c r="T3" i="30"/>
  <c r="U3" i="30"/>
  <c r="V3" i="30"/>
  <c r="W3" i="30"/>
  <c r="X3" i="30"/>
  <c r="Y3" i="30"/>
  <c r="Z3" i="30"/>
  <c r="B7" i="30" l="1"/>
  <c r="B8" i="30"/>
  <c r="B9" i="30"/>
  <c r="B10" i="30"/>
  <c r="B11" i="30"/>
  <c r="B12" i="30"/>
  <c r="B13" i="30"/>
  <c r="B14" i="30"/>
  <c r="B15" i="30"/>
  <c r="B16" i="30"/>
  <c r="B17" i="30"/>
  <c r="B18" i="30"/>
  <c r="B19" i="30"/>
  <c r="B20" i="30"/>
  <c r="B21" i="30"/>
  <c r="B22" i="30"/>
  <c r="B23" i="30"/>
  <c r="B24" i="30"/>
  <c r="B25" i="30"/>
  <c r="B26" i="30"/>
  <c r="B27" i="30"/>
  <c r="B28" i="30"/>
  <c r="B29" i="30"/>
  <c r="B30" i="30"/>
  <c r="B31" i="30"/>
  <c r="B32" i="30"/>
  <c r="B33" i="30"/>
  <c r="B34" i="30"/>
  <c r="B35" i="30"/>
  <c r="B36" i="30"/>
  <c r="B37" i="30"/>
  <c r="B38" i="30"/>
  <c r="B39" i="30"/>
  <c r="B40" i="30"/>
  <c r="B41" i="30"/>
  <c r="B42" i="30"/>
  <c r="B43" i="30"/>
  <c r="B44" i="30"/>
  <c r="B45" i="30"/>
  <c r="B46" i="30"/>
  <c r="B47" i="30"/>
  <c r="B48" i="30"/>
  <c r="B49" i="30"/>
  <c r="B50" i="30"/>
  <c r="B51" i="30"/>
  <c r="B52" i="30"/>
  <c r="B53" i="30"/>
  <c r="B54" i="30"/>
  <c r="B55" i="30"/>
  <c r="B56" i="30"/>
  <c r="B57" i="30"/>
  <c r="B58" i="30"/>
  <c r="B59" i="30"/>
  <c r="B60" i="30"/>
  <c r="B61" i="30"/>
  <c r="B62" i="30"/>
  <c r="B63" i="30"/>
  <c r="B64" i="30"/>
  <c r="B65" i="30"/>
  <c r="B66" i="30"/>
  <c r="B67" i="30"/>
  <c r="B68" i="30"/>
  <c r="B69" i="30"/>
  <c r="B70" i="30"/>
  <c r="B71" i="30"/>
  <c r="B72" i="30"/>
  <c r="B73" i="30"/>
  <c r="B74" i="30"/>
  <c r="B75" i="30"/>
  <c r="B76" i="30"/>
  <c r="B77" i="30"/>
  <c r="B78" i="30"/>
  <c r="B79" i="30"/>
  <c r="B80" i="30"/>
  <c r="B81" i="30"/>
  <c r="B82" i="30"/>
  <c r="B83" i="30"/>
  <c r="B84" i="30"/>
  <c r="B85" i="30"/>
  <c r="B86" i="30"/>
  <c r="B87" i="30"/>
  <c r="B88" i="30"/>
  <c r="B89" i="30"/>
  <c r="B90" i="30"/>
  <c r="B119" i="30"/>
  <c r="B120" i="30"/>
  <c r="B121" i="30"/>
  <c r="B122" i="30"/>
  <c r="B123" i="30"/>
  <c r="B124" i="30"/>
  <c r="B125" i="30"/>
  <c r="B126" i="30"/>
  <c r="B127" i="30"/>
  <c r="B128" i="30"/>
  <c r="B129" i="30"/>
  <c r="B130" i="30"/>
  <c r="B131" i="30"/>
  <c r="B132" i="30"/>
  <c r="B133" i="30"/>
  <c r="B134" i="30"/>
  <c r="B135" i="30"/>
  <c r="B136" i="30"/>
  <c r="B137" i="30"/>
  <c r="B138" i="30"/>
  <c r="B139" i="30"/>
  <c r="B140" i="30"/>
  <c r="B141" i="30"/>
  <c r="B142" i="30"/>
  <c r="B143" i="30"/>
  <c r="B144" i="30"/>
  <c r="B145" i="30"/>
  <c r="B146" i="30"/>
  <c r="B147" i="30"/>
  <c r="B148" i="30"/>
  <c r="B149" i="30"/>
  <c r="B150" i="30"/>
  <c r="B151" i="30"/>
  <c r="B152" i="30"/>
  <c r="B153" i="30"/>
  <c r="B154" i="30"/>
  <c r="B155" i="30"/>
  <c r="B156" i="30"/>
  <c r="B157" i="30"/>
  <c r="B158" i="30"/>
  <c r="B159" i="30"/>
  <c r="B160" i="30"/>
  <c r="B161" i="30"/>
  <c r="B162" i="30"/>
  <c r="B163" i="30"/>
  <c r="B164" i="30"/>
  <c r="B165" i="30"/>
  <c r="B166" i="30"/>
  <c r="B167" i="30"/>
  <c r="B168" i="30"/>
  <c r="B169" i="30"/>
  <c r="B170" i="30"/>
  <c r="B171" i="30"/>
  <c r="B172" i="30"/>
  <c r="B173" i="30"/>
  <c r="B174" i="30"/>
  <c r="B175" i="30"/>
  <c r="B176" i="30"/>
  <c r="B177" i="30"/>
  <c r="B178" i="30"/>
  <c r="B179" i="30"/>
  <c r="B180" i="30"/>
  <c r="B181" i="30"/>
  <c r="B182" i="30"/>
  <c r="B183" i="30"/>
  <c r="B184" i="30"/>
  <c r="B185" i="30"/>
  <c r="B186" i="30"/>
  <c r="B187" i="30"/>
  <c r="B188" i="30"/>
  <c r="B189" i="30"/>
  <c r="B190" i="30"/>
  <c r="B191" i="30"/>
  <c r="B192" i="30"/>
  <c r="B193" i="30"/>
  <c r="B194" i="30"/>
  <c r="B195" i="30"/>
  <c r="B196" i="30"/>
  <c r="B197" i="30"/>
  <c r="B198" i="30"/>
  <c r="B199" i="30"/>
  <c r="B200" i="30"/>
  <c r="B201" i="30"/>
  <c r="B202" i="30"/>
  <c r="B203" i="30"/>
  <c r="B204" i="30"/>
  <c r="B205" i="30"/>
  <c r="B206" i="30"/>
  <c r="B207" i="30"/>
  <c r="B208" i="30"/>
  <c r="B209" i="30"/>
  <c r="B210" i="30"/>
  <c r="B211" i="30"/>
  <c r="B212" i="30"/>
  <c r="B213" i="30"/>
  <c r="B214" i="30"/>
  <c r="B215" i="30"/>
  <c r="B216" i="30"/>
  <c r="B217" i="30"/>
  <c r="B218" i="30"/>
  <c r="B219" i="30"/>
  <c r="B220" i="30"/>
  <c r="B221" i="30"/>
  <c r="B222" i="30"/>
  <c r="B223" i="30"/>
  <c r="B224" i="30"/>
  <c r="B6" i="30"/>
  <c r="Z52" i="30" l="1"/>
  <c r="AA52" i="30"/>
  <c r="M52" i="30"/>
  <c r="N52" i="30"/>
  <c r="O52" i="30"/>
  <c r="P52" i="30"/>
  <c r="Q52" i="30"/>
  <c r="R52" i="30"/>
  <c r="S52" i="30"/>
  <c r="T52" i="30"/>
  <c r="U52" i="30"/>
  <c r="V52" i="30"/>
  <c r="W52" i="30"/>
  <c r="X52" i="30"/>
  <c r="Y52" i="30"/>
  <c r="L52" i="30"/>
  <c r="M51" i="30"/>
  <c r="N51" i="30"/>
  <c r="O51" i="30"/>
  <c r="P51" i="30"/>
  <c r="Q51" i="30"/>
  <c r="R51" i="30"/>
  <c r="S51" i="30"/>
  <c r="T51" i="30"/>
  <c r="U51" i="30"/>
  <c r="V51" i="30"/>
  <c r="W51" i="30"/>
  <c r="X51" i="30"/>
  <c r="Y51" i="30"/>
  <c r="Z51" i="30"/>
  <c r="AA51" i="30"/>
  <c r="L51" i="30"/>
  <c r="M50" i="30"/>
  <c r="N50" i="30"/>
  <c r="O50" i="30"/>
  <c r="P50" i="30"/>
  <c r="Q50" i="30"/>
  <c r="R50" i="30"/>
  <c r="S50" i="30"/>
  <c r="T50" i="30"/>
  <c r="U50" i="30"/>
  <c r="V50" i="30"/>
  <c r="W50" i="30"/>
  <c r="X50" i="30"/>
  <c r="Y50" i="30"/>
  <c r="Z50" i="30"/>
  <c r="AA50" i="30"/>
  <c r="L50" i="30"/>
  <c r="M49" i="30"/>
  <c r="N49" i="30"/>
  <c r="O49" i="30"/>
  <c r="P49" i="30"/>
  <c r="Q49" i="30"/>
  <c r="R49" i="30"/>
  <c r="S49" i="30"/>
  <c r="T49" i="30"/>
  <c r="U49" i="30"/>
  <c r="V49" i="30"/>
  <c r="W49" i="30"/>
  <c r="X49" i="30"/>
  <c r="Y49" i="30"/>
  <c r="Z49" i="30"/>
  <c r="AA49" i="30"/>
  <c r="L49" i="30"/>
  <c r="M48" i="30"/>
  <c r="N48" i="30"/>
  <c r="O48" i="30"/>
  <c r="P48" i="30"/>
  <c r="Q48" i="30"/>
  <c r="R48" i="30"/>
  <c r="S48" i="30"/>
  <c r="T48" i="30"/>
  <c r="U48" i="30"/>
  <c r="V48" i="30"/>
  <c r="W48" i="30"/>
  <c r="X48" i="30"/>
  <c r="Y48" i="30"/>
  <c r="Z48" i="30"/>
  <c r="AA48" i="30"/>
  <c r="L48" i="30"/>
  <c r="A1" i="32" l="1"/>
  <c r="B3" i="32" l="1"/>
  <c r="B47" i="32" s="1"/>
  <c r="A3" i="34"/>
  <c r="A1" i="34" s="1"/>
  <c r="F8" i="34"/>
  <c r="E8" i="34"/>
  <c r="F4" i="34"/>
  <c r="G2" i="35"/>
  <c r="H2" i="35" s="1"/>
  <c r="B6" i="34" s="1"/>
  <c r="AA2" i="30"/>
  <c r="AA3" i="30"/>
  <c r="N4" i="34"/>
  <c r="M4" i="34"/>
  <c r="L4" i="34"/>
  <c r="K4" i="34"/>
  <c r="J4" i="34"/>
  <c r="I4" i="34"/>
  <c r="H4" i="34"/>
  <c r="G4" i="34"/>
  <c r="B3" i="33"/>
  <c r="B16" i="33" s="1"/>
  <c r="N4" i="33"/>
  <c r="M4" i="33"/>
  <c r="L4" i="33"/>
  <c r="K4" i="33"/>
  <c r="J4" i="33"/>
  <c r="I4" i="33"/>
  <c r="H4" i="33"/>
  <c r="G4" i="33"/>
  <c r="M3" i="33"/>
  <c r="K3" i="33"/>
  <c r="I3" i="33"/>
  <c r="G3" i="33"/>
  <c r="F45" i="32"/>
  <c r="E45" i="32"/>
  <c r="N4" i="32"/>
  <c r="M4" i="32"/>
  <c r="L4" i="32"/>
  <c r="K4" i="32"/>
  <c r="J4" i="32"/>
  <c r="I4" i="32"/>
  <c r="H4" i="32"/>
  <c r="G4" i="32"/>
  <c r="M3" i="32"/>
  <c r="K3" i="32"/>
  <c r="I3" i="32"/>
  <c r="G3" i="32"/>
  <c r="B5" i="31"/>
  <c r="J3" i="30"/>
  <c r="Z2" i="30"/>
  <c r="Y2" i="30"/>
  <c r="X2" i="30"/>
  <c r="W2" i="30"/>
  <c r="V2" i="30"/>
  <c r="U2" i="30"/>
  <c r="T2" i="30"/>
  <c r="S2" i="30"/>
  <c r="R2" i="30"/>
  <c r="Q2" i="30"/>
  <c r="P2" i="30"/>
  <c r="O2" i="30"/>
  <c r="N2" i="30"/>
  <c r="M2" i="30"/>
  <c r="L2" i="30"/>
  <c r="B6" i="31" a="1"/>
  <c r="B7" i="31"/>
  <c r="F4" i="33" l="1"/>
  <c r="F4" i="32"/>
  <c r="F7" i="34"/>
  <c r="F9" i="34" s="1"/>
  <c r="J7" i="34"/>
  <c r="N7" i="34"/>
  <c r="D7" i="34"/>
  <c r="D9" i="34" s="1"/>
  <c r="H7" i="34"/>
  <c r="L7" i="34"/>
  <c r="E7" i="34"/>
  <c r="E9" i="34" s="1"/>
  <c r="I7" i="34"/>
  <c r="M7" i="34"/>
  <c r="C7" i="34"/>
  <c r="C9" i="34" s="1"/>
  <c r="G7" i="34"/>
  <c r="K7" i="34"/>
  <c r="C10" i="31"/>
  <c r="B6" i="31"/>
  <c r="C8" i="31" l="1"/>
  <c r="C11" i="31"/>
  <c r="C9" i="31"/>
  <c r="C5" i="31"/>
  <c r="L14" i="33"/>
  <c r="N11" i="33"/>
  <c r="C42" i="32"/>
  <c r="F13" i="33"/>
  <c r="K29" i="32"/>
  <c r="G39" i="32"/>
  <c r="I24" i="32"/>
  <c r="N42" i="32"/>
  <c r="C25" i="32"/>
  <c r="K10" i="32"/>
  <c r="F5" i="32"/>
  <c r="K33" i="32"/>
  <c r="C21" i="32"/>
  <c r="K21" i="32"/>
  <c r="J11" i="33"/>
  <c r="M11" i="32"/>
  <c r="G10" i="32"/>
  <c r="C26" i="32"/>
  <c r="N12" i="33"/>
  <c r="M22" i="32"/>
  <c r="H13" i="32"/>
  <c r="K20" i="32"/>
  <c r="H35" i="32"/>
  <c r="N9" i="32"/>
  <c r="G38" i="32"/>
  <c r="N7" i="33"/>
  <c r="N32" i="32"/>
  <c r="C36" i="32"/>
  <c r="K36" i="32"/>
  <c r="C14" i="33"/>
  <c r="H17" i="32"/>
  <c r="L6" i="32"/>
  <c r="G8" i="33"/>
  <c r="G12" i="32"/>
  <c r="C16" i="32"/>
  <c r="K28" i="32"/>
  <c r="M33" i="32"/>
  <c r="J43" i="32"/>
  <c r="J40" i="32"/>
  <c r="C15" i="32"/>
  <c r="G16" i="32"/>
  <c r="F6" i="32"/>
  <c r="K5" i="33"/>
  <c r="G8" i="32"/>
  <c r="M26" i="32"/>
  <c r="H19" i="32"/>
  <c r="K14" i="32"/>
  <c r="C28" i="32"/>
  <c r="M34" i="32"/>
  <c r="M13" i="33"/>
  <c r="H16" i="32"/>
  <c r="H23" i="32"/>
  <c r="M24" i="32"/>
  <c r="L12" i="33"/>
  <c r="J14" i="33"/>
  <c r="L34" i="32"/>
  <c r="L5" i="32"/>
  <c r="H37" i="32"/>
  <c r="I19" i="32"/>
  <c r="J11" i="32"/>
  <c r="M41" i="32"/>
  <c r="C38" i="32"/>
  <c r="I25" i="32"/>
  <c r="J12" i="32"/>
  <c r="H11" i="33"/>
  <c r="M12" i="32"/>
  <c r="H9" i="32"/>
  <c r="J30" i="32"/>
  <c r="I41" i="32"/>
  <c r="L39" i="32"/>
  <c r="J32" i="32"/>
  <c r="N5" i="34"/>
  <c r="F22" i="32"/>
  <c r="L30" i="32"/>
  <c r="K30" i="32"/>
  <c r="F9" i="33"/>
  <c r="G27" i="32"/>
  <c r="H26" i="32"/>
  <c r="N43" i="32"/>
  <c r="H40" i="32"/>
  <c r="F6" i="33"/>
  <c r="L10" i="32"/>
  <c r="K19" i="32"/>
  <c r="I16" i="32"/>
  <c r="G20" i="32"/>
  <c r="C7" i="32"/>
  <c r="G15" i="32"/>
  <c r="I9" i="33"/>
  <c r="M15" i="32"/>
  <c r="M21" i="32"/>
  <c r="L14" i="32"/>
  <c r="L19" i="32"/>
  <c r="J12" i="33"/>
  <c r="J5" i="32"/>
  <c r="C14" i="32"/>
  <c r="H5" i="33"/>
  <c r="G25" i="32"/>
  <c r="C23" i="32"/>
  <c r="K12" i="33"/>
  <c r="F11" i="32"/>
  <c r="M19" i="32"/>
  <c r="L38" i="32"/>
  <c r="J24" i="32"/>
  <c r="K13" i="32"/>
  <c r="K17" i="32"/>
  <c r="N6" i="34"/>
  <c r="G22" i="32"/>
  <c r="K10" i="33"/>
  <c r="C17" i="32"/>
  <c r="N35" i="32"/>
  <c r="L11" i="33"/>
  <c r="M9" i="32"/>
  <c r="K6" i="32"/>
  <c r="J6" i="34"/>
  <c r="K37" i="32"/>
  <c r="N11" i="32"/>
  <c r="J28" i="32"/>
  <c r="F9" i="32"/>
  <c r="J23" i="32"/>
  <c r="C8" i="32"/>
  <c r="N25" i="32"/>
  <c r="I39" i="32"/>
  <c r="M38" i="32"/>
  <c r="L22" i="32"/>
  <c r="J27" i="32"/>
  <c r="H14" i="32"/>
  <c r="L13" i="32"/>
  <c r="N5" i="32"/>
  <c r="L9" i="33"/>
  <c r="F26" i="32"/>
  <c r="G30" i="32"/>
  <c r="K7" i="32"/>
  <c r="C6" i="32"/>
  <c r="L31" i="32"/>
  <c r="N13" i="32"/>
  <c r="K38" i="32"/>
  <c r="C35" i="32"/>
  <c r="I34" i="32"/>
  <c r="M17" i="32"/>
  <c r="K23" i="32"/>
  <c r="I8" i="32"/>
  <c r="G12" i="33"/>
  <c r="C19" i="32"/>
  <c r="H5" i="34"/>
  <c r="I35" i="32"/>
  <c r="M20" i="32"/>
  <c r="I26" i="32"/>
  <c r="M10" i="33"/>
  <c r="N33" i="32"/>
  <c r="G7" i="33"/>
  <c r="M6" i="34"/>
  <c r="H42" i="32"/>
  <c r="C37" i="32"/>
  <c r="N37" i="32"/>
  <c r="G37" i="32"/>
  <c r="M39" i="32"/>
  <c r="G6" i="34"/>
  <c r="I11" i="32"/>
  <c r="J15" i="32"/>
  <c r="N24" i="32"/>
  <c r="M43" i="32"/>
  <c r="N6" i="32"/>
  <c r="L13" i="33"/>
  <c r="G40" i="32"/>
  <c r="N10" i="33"/>
  <c r="I38" i="32"/>
  <c r="F23" i="32"/>
  <c r="G29" i="32"/>
  <c r="I7" i="32"/>
  <c r="J8" i="33"/>
  <c r="C22" i="32"/>
  <c r="M32" i="32"/>
  <c r="I14" i="33"/>
  <c r="L36" i="32"/>
  <c r="J6" i="32"/>
  <c r="J6" i="33"/>
  <c r="M31" i="32"/>
  <c r="G42" i="32"/>
  <c r="C7" i="33"/>
  <c r="G5" i="32"/>
  <c r="N8" i="32"/>
  <c r="L8" i="33"/>
  <c r="N39" i="32"/>
  <c r="H25" i="32"/>
  <c r="C11" i="32"/>
  <c r="N40" i="32"/>
  <c r="H14" i="33"/>
  <c r="F34" i="32"/>
  <c r="J39" i="32"/>
  <c r="N9" i="33"/>
  <c r="L11" i="32"/>
  <c r="L7" i="32"/>
  <c r="H6" i="32"/>
  <c r="N27" i="32"/>
  <c r="N23" i="32"/>
  <c r="L9" i="32"/>
  <c r="F12" i="32"/>
  <c r="H30" i="32"/>
  <c r="H28" i="32"/>
  <c r="K13" i="33"/>
  <c r="H6" i="34"/>
  <c r="H41" i="32"/>
  <c r="G13" i="32"/>
  <c r="C9" i="32"/>
  <c r="L8" i="32"/>
  <c r="H34" i="32"/>
  <c r="N41" i="32"/>
  <c r="G11" i="33"/>
  <c r="K8" i="32"/>
  <c r="M6" i="33"/>
  <c r="L12" i="32"/>
  <c r="H39" i="32"/>
  <c r="I30" i="32"/>
  <c r="C27" i="32"/>
  <c r="H12" i="32"/>
  <c r="G23" i="32"/>
  <c r="C10" i="33"/>
  <c r="M29" i="32"/>
  <c r="H8" i="33"/>
  <c r="K22" i="32"/>
  <c r="C13" i="32"/>
  <c r="J14" i="32"/>
  <c r="N8" i="33"/>
  <c r="M25" i="32"/>
  <c r="L29" i="32"/>
  <c r="N21" i="32"/>
  <c r="D6" i="34"/>
  <c r="C39" i="32"/>
  <c r="M8" i="33"/>
  <c r="M28" i="32"/>
  <c r="K27" i="32"/>
  <c r="J31" i="32"/>
  <c r="F40" i="32"/>
  <c r="M13" i="32"/>
  <c r="F41" i="32"/>
  <c r="H24" i="32"/>
  <c r="H7" i="33"/>
  <c r="N17" i="32"/>
  <c r="J7" i="32"/>
  <c r="I6" i="33"/>
  <c r="J16" i="32"/>
  <c r="F17" i="32"/>
  <c r="G5" i="34"/>
  <c r="F31" i="32"/>
  <c r="N30" i="32"/>
  <c r="M40" i="32"/>
  <c r="K5" i="32"/>
  <c r="K8" i="33"/>
  <c r="M42" i="32"/>
  <c r="G35" i="32"/>
  <c r="C24" i="32"/>
  <c r="L10" i="33"/>
  <c r="G24" i="32"/>
  <c r="H31" i="32"/>
  <c r="M30" i="32"/>
  <c r="L33" i="32"/>
  <c r="J8" i="32"/>
  <c r="F16" i="32"/>
  <c r="C5" i="32"/>
  <c r="K6" i="33"/>
  <c r="M5" i="33"/>
  <c r="J19" i="32"/>
  <c r="K31" i="32"/>
  <c r="N7" i="32"/>
  <c r="F14" i="33"/>
  <c r="F38" i="32"/>
  <c r="I28" i="32"/>
  <c r="L16" i="32"/>
  <c r="N14" i="32"/>
  <c r="M9" i="33"/>
  <c r="L17" i="32"/>
  <c r="I6" i="34"/>
  <c r="J36" i="32"/>
  <c r="I10" i="33"/>
  <c r="F43" i="32"/>
  <c r="L35" i="32"/>
  <c r="F18" i="32"/>
  <c r="K16" i="32"/>
  <c r="M8" i="32"/>
  <c r="F7" i="32"/>
  <c r="G43" i="32"/>
  <c r="I12" i="32"/>
  <c r="F21" i="32"/>
  <c r="K15" i="32"/>
  <c r="I29" i="32"/>
  <c r="L26" i="32"/>
  <c r="I17" i="32"/>
  <c r="F20" i="32"/>
  <c r="N12" i="32"/>
  <c r="N19" i="32"/>
  <c r="H9" i="33"/>
  <c r="L27" i="32"/>
  <c r="M5" i="32"/>
  <c r="K26" i="32"/>
  <c r="M36" i="32"/>
  <c r="K11" i="33"/>
  <c r="L24" i="32"/>
  <c r="H12" i="33"/>
  <c r="C20" i="32"/>
  <c r="F35" i="32"/>
  <c r="H11" i="32"/>
  <c r="J10" i="32"/>
  <c r="G33" i="32"/>
  <c r="J37" i="32"/>
  <c r="J42" i="32"/>
  <c r="G13" i="33"/>
  <c r="M16" i="32"/>
  <c r="N6" i="33"/>
  <c r="G6" i="33"/>
  <c r="K7" i="33"/>
  <c r="F27" i="32"/>
  <c r="G14" i="32"/>
  <c r="H5" i="32"/>
  <c r="K43" i="32"/>
  <c r="F13" i="32"/>
  <c r="J5" i="34"/>
  <c r="K32" i="32"/>
  <c r="F33" i="32"/>
  <c r="C30" i="32"/>
  <c r="H7" i="32"/>
  <c r="I21" i="32"/>
  <c r="I13" i="32"/>
  <c r="C18" i="32"/>
  <c r="K34" i="32"/>
  <c r="F30" i="32"/>
  <c r="K24" i="32"/>
  <c r="M14" i="32"/>
  <c r="L37" i="32"/>
  <c r="N36" i="32"/>
  <c r="I43" i="32"/>
  <c r="C29" i="32"/>
  <c r="I15" i="32"/>
  <c r="I8" i="33"/>
  <c r="G32" i="32"/>
  <c r="K11" i="32"/>
  <c r="N18" i="32"/>
  <c r="G19" i="32"/>
  <c r="J38" i="32"/>
  <c r="J9" i="33"/>
  <c r="N20" i="32"/>
  <c r="G7" i="32"/>
  <c r="H32" i="32"/>
  <c r="H6" i="33"/>
  <c r="N13" i="33"/>
  <c r="F28" i="32"/>
  <c r="N38" i="32"/>
  <c r="F37" i="32"/>
  <c r="L18" i="32"/>
  <c r="L41" i="32"/>
  <c r="N10" i="32"/>
  <c r="M12" i="33"/>
  <c r="L42" i="32"/>
  <c r="K42" i="32"/>
  <c r="F15" i="32"/>
  <c r="J26" i="32"/>
  <c r="I5" i="34"/>
  <c r="K35" i="32"/>
  <c r="F5" i="33"/>
  <c r="L40" i="32"/>
  <c r="C43" i="32"/>
  <c r="L25" i="32"/>
  <c r="N34" i="32"/>
  <c r="I7" i="33"/>
  <c r="H8" i="32"/>
  <c r="K9" i="32"/>
  <c r="K14" i="33"/>
  <c r="J21" i="32"/>
  <c r="J9" i="32"/>
  <c r="C8" i="33"/>
  <c r="G21" i="32"/>
  <c r="N15" i="32"/>
  <c r="K40" i="32"/>
  <c r="L5" i="33"/>
  <c r="I36" i="32"/>
  <c r="G14" i="33"/>
  <c r="F8" i="33"/>
  <c r="C5" i="33"/>
  <c r="L5" i="34"/>
  <c r="C32" i="32"/>
  <c r="H38" i="32"/>
  <c r="J18" i="32"/>
  <c r="I32" i="32"/>
  <c r="M5" i="34"/>
  <c r="J20" i="32"/>
  <c r="C33" i="32"/>
  <c r="G9" i="33"/>
  <c r="M10" i="32"/>
  <c r="G10" i="33"/>
  <c r="K9" i="33"/>
  <c r="I42" i="32"/>
  <c r="N29" i="32"/>
  <c r="H29" i="32"/>
  <c r="G26" i="32"/>
  <c r="K5" i="34"/>
  <c r="F5" i="34"/>
  <c r="I14" i="32"/>
  <c r="I31" i="32"/>
  <c r="I22" i="32"/>
  <c r="M37" i="32"/>
  <c r="M35" i="32"/>
  <c r="L20" i="32"/>
  <c r="H13" i="33"/>
  <c r="J22" i="32"/>
  <c r="J13" i="32"/>
  <c r="N28" i="32"/>
  <c r="C34" i="32"/>
  <c r="J34" i="32"/>
  <c r="C12" i="32"/>
  <c r="N5" i="33"/>
  <c r="G31" i="32"/>
  <c r="J35" i="32"/>
  <c r="L15" i="32"/>
  <c r="H10" i="33"/>
  <c r="H43" i="32"/>
  <c r="I20" i="32"/>
  <c r="C31" i="32"/>
  <c r="G34" i="32"/>
  <c r="I18" i="32"/>
  <c r="H33" i="32"/>
  <c r="J13" i="33"/>
  <c r="L6" i="34"/>
  <c r="G11" i="32"/>
  <c r="K39" i="32"/>
  <c r="K12" i="32"/>
  <c r="J17" i="32"/>
  <c r="F32" i="32"/>
  <c r="L23" i="32"/>
  <c r="G17" i="32"/>
  <c r="C6" i="34"/>
  <c r="I5" i="32"/>
  <c r="F7" i="33"/>
  <c r="J29" i="32"/>
  <c r="H36" i="32"/>
  <c r="G6" i="32"/>
  <c r="G18" i="32"/>
  <c r="N16" i="32"/>
  <c r="F6" i="34"/>
  <c r="J5" i="33"/>
  <c r="C40" i="32"/>
  <c r="I13" i="33"/>
  <c r="I11" i="33"/>
  <c r="F19" i="32"/>
  <c r="M18" i="32"/>
  <c r="M7" i="33"/>
  <c r="H27" i="32"/>
  <c r="L28" i="32"/>
  <c r="M14" i="33"/>
  <c r="C10" i="32"/>
  <c r="F25" i="32"/>
  <c r="L43" i="32"/>
  <c r="F14" i="32"/>
  <c r="I40" i="32"/>
  <c r="F10" i="32"/>
  <c r="L21" i="32"/>
  <c r="M7" i="32"/>
  <c r="F39" i="32"/>
  <c r="L6" i="33"/>
  <c r="G28" i="32"/>
  <c r="H22" i="32"/>
  <c r="M27" i="32"/>
  <c r="I27" i="32"/>
  <c r="I37" i="32"/>
  <c r="I6" i="32"/>
  <c r="I23" i="32"/>
  <c r="I12" i="33"/>
  <c r="C6" i="33"/>
  <c r="G5" i="33"/>
  <c r="K18" i="32"/>
  <c r="J41" i="32"/>
  <c r="J25" i="32"/>
  <c r="C13" i="33"/>
  <c r="K25" i="32"/>
  <c r="G41" i="32"/>
  <c r="G9" i="32"/>
  <c r="K6" i="34"/>
  <c r="F29" i="32"/>
  <c r="L7" i="33"/>
  <c r="G36" i="32"/>
  <c r="H15" i="32"/>
  <c r="N26" i="32"/>
  <c r="C9" i="33"/>
  <c r="M11" i="33"/>
  <c r="K41" i="32"/>
  <c r="C5" i="34"/>
  <c r="N14" i="33"/>
  <c r="F8" i="32"/>
  <c r="H10" i="32"/>
  <c r="J7" i="33"/>
  <c r="I5" i="33"/>
  <c r="J10" i="33"/>
  <c r="F24" i="32"/>
  <c r="I9" i="32"/>
  <c r="F10" i="33"/>
  <c r="F36" i="32"/>
  <c r="M6" i="32"/>
  <c r="I10" i="32"/>
  <c r="H20" i="32"/>
  <c r="N31" i="32"/>
  <c r="I33" i="32"/>
  <c r="N22" i="32"/>
  <c r="L32" i="32"/>
  <c r="H21" i="32"/>
  <c r="H18" i="32"/>
  <c r="M23" i="32"/>
  <c r="C41" i="32"/>
  <c r="J33" i="32"/>
  <c r="F42" i="32"/>
  <c r="I15" i="33" l="1"/>
  <c r="G15" i="33"/>
  <c r="J15" i="33"/>
  <c r="I44" i="32"/>
  <c r="N15" i="33"/>
  <c r="C15" i="33"/>
  <c r="L15" i="33"/>
  <c r="F15" i="33"/>
  <c r="H44" i="32"/>
  <c r="M44" i="32"/>
  <c r="M15" i="33"/>
  <c r="C44" i="32"/>
  <c r="C46" i="32" s="1"/>
  <c r="K44" i="32"/>
  <c r="E6" i="34"/>
  <c r="G44" i="32"/>
  <c r="N44" i="32"/>
  <c r="H15" i="33"/>
  <c r="J44" i="32"/>
  <c r="L44" i="32"/>
  <c r="K15" i="33"/>
  <c r="F44" i="32"/>
  <c r="F46" i="32" s="1"/>
  <c r="D41" i="32"/>
  <c r="D40" i="32"/>
  <c r="D32" i="32"/>
  <c r="D18" i="32"/>
  <c r="D24" i="32"/>
  <c r="D11" i="32"/>
  <c r="D38" i="32"/>
  <c r="D26" i="32"/>
  <c r="D23" i="32"/>
  <c r="D8" i="33"/>
  <c r="D15" i="32"/>
  <c r="D29" i="32"/>
  <c r="D36" i="32"/>
  <c r="D30" i="32"/>
  <c r="D8" i="32"/>
  <c r="D21" i="32"/>
  <c r="D22" i="32"/>
  <c r="D13" i="32"/>
  <c r="D42" i="32"/>
  <c r="D9" i="32"/>
  <c r="D5" i="34"/>
  <c r="D5" i="33"/>
  <c r="D39" i="32"/>
  <c r="D7" i="33"/>
  <c r="D17" i="32"/>
  <c r="D28" i="32"/>
  <c r="D25" i="32"/>
  <c r="D16" i="32"/>
  <c r="D7" i="32"/>
  <c r="D9" i="33"/>
  <c r="D31" i="32"/>
  <c r="D20" i="32"/>
  <c r="D37" i="32"/>
  <c r="D13" i="33"/>
  <c r="D12" i="32"/>
  <c r="D43" i="32"/>
  <c r="D10" i="33"/>
  <c r="D19" i="32"/>
  <c r="D14" i="32"/>
  <c r="D6" i="33"/>
  <c r="D34" i="32"/>
  <c r="D5" i="32"/>
  <c r="D27" i="32"/>
  <c r="D35" i="32"/>
  <c r="D14" i="33"/>
  <c r="D10" i="32"/>
  <c r="D33" i="32"/>
  <c r="D6" i="32"/>
  <c r="E6" i="32" l="1"/>
  <c r="E33" i="32"/>
  <c r="E10" i="32"/>
  <c r="E14" i="33"/>
  <c r="E35" i="32"/>
  <c r="E27" i="32"/>
  <c r="E5" i="32"/>
  <c r="D44" i="32"/>
  <c r="E34" i="32"/>
  <c r="E6" i="33"/>
  <c r="E14" i="32"/>
  <c r="E19" i="32"/>
  <c r="E10" i="33"/>
  <c r="E43" i="32"/>
  <c r="E12" i="32"/>
  <c r="E13" i="33"/>
  <c r="E37" i="32"/>
  <c r="E20" i="32"/>
  <c r="E31" i="32"/>
  <c r="E9" i="33"/>
  <c r="E7" i="32"/>
  <c r="E16" i="32"/>
  <c r="E25" i="32"/>
  <c r="E28" i="32"/>
  <c r="E17" i="32"/>
  <c r="E7" i="33"/>
  <c r="E39" i="32"/>
  <c r="D15" i="33"/>
  <c r="E15" i="33" s="1"/>
  <c r="E5" i="33"/>
  <c r="E5" i="34"/>
  <c r="E9" i="32"/>
  <c r="E42" i="32"/>
  <c r="E13" i="32"/>
  <c r="E22" i="32"/>
  <c r="E21" i="32"/>
  <c r="E8" i="32"/>
  <c r="E30" i="32"/>
  <c r="E36" i="32"/>
  <c r="E29" i="32"/>
  <c r="E15" i="32"/>
  <c r="E8" i="33"/>
  <c r="E23" i="32"/>
  <c r="E26" i="32"/>
  <c r="E38" i="32"/>
  <c r="E11" i="32"/>
  <c r="E24" i="32"/>
  <c r="E18" i="32"/>
  <c r="E32" i="32"/>
  <c r="E40" i="32"/>
  <c r="E41" i="32"/>
  <c r="E44" i="32" l="1"/>
  <c r="E46" i="32" s="1"/>
  <c r="D46" i="32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Fednet data" description="Connection to the 'Fednet data' query in the workbook." type="5" refreshedVersion="6" background="1">
    <dbPr connection="Provider=Microsoft.Mashup.OleDb.1;Data Source=$Workbook$;Location=Fednet data;Extended Properties=&quot;&quot;" command="SELECT * FROM [Fednet data]"/>
  </connection>
  <connection id="2" xr16:uid="{00000000-0015-0000-FFFF-FFFF01000000}" keepAlive="1" name="Query - FEDNET_PHOF_Headers" description="Connection to the 'FEDNET_PHOF_Headers' query in the workbook." type="5" refreshedVersion="0" background="1">
    <dbPr connection="Provider=Microsoft.Mashup.OleDb.1;Data Source=$Workbook$;Location=FEDNET_PHOF_Headers;Extended Properties=&quot;&quot;" command="SELECT * FROM [FEDNET_PHOF_Headers]"/>
  </connection>
  <connection id="3" xr16:uid="{00000000-0015-0000-FFFF-FFFF02000000}" keepAlive="1" name="Query - Sample File" description="Connection to the 'Sample File' query in the workbook." type="5" refreshedVersion="0" background="1">
    <dbPr connection="Provider=Microsoft.Mashup.OleDb.1;Data Source=$Workbook$;Location=&quot;Sample File&quot;;Extended Properties=&quot;&quot;" command="SELECT * FROM [Sample File]"/>
  </connection>
  <connection id="4" xr16:uid="{00000000-0015-0000-FFFF-FFFF03000000}" keepAlive="1" name="Query - Sample File (2)" description="Connection to the 'Sample File (2)' query in the workbook." type="5" refreshedVersion="0" background="1">
    <dbPr connection="Provider=Microsoft.Mashup.OleDb.1;Data Source=$Workbook$;Location=&quot;Sample File (2)&quot;;Extended Properties=&quot;&quot;" command="SELECT * FROM [Sample File (2)]"/>
  </connection>
  <connection id="5" xr16:uid="{00000000-0015-0000-FFFF-FFFF04000000}" keepAlive="1" name="Query - Sample File Parameter1" description="Connection to the 'Sample File Parameter1' query in the workbook." type="5" refreshedVersion="0" background="1">
    <dbPr connection="Provider=Microsoft.Mashup.OleDb.1;Data Source=$Workbook$;Location=&quot;Sample File Parameter1&quot;;Extended Properties=&quot;&quot;" command="SELECT * FROM [Sample File Parameter1]"/>
  </connection>
  <connection id="6" xr16:uid="{00000000-0015-0000-FFFF-FFFF05000000}" keepAlive="1" name="Query - Sample File Parameter2" description="Connection to the 'Sample File Parameter2' query in the workbook." type="5" refreshedVersion="0" background="1">
    <dbPr connection="Provider=Microsoft.Mashup.OleDb.1;Data Source=$Workbook$;Location=&quot;Sample File Parameter2&quot;;Extended Properties=&quot;&quot;" command="SELECT * FROM [Sample File Parameter2]"/>
  </connection>
  <connection id="7" xr16:uid="{00000000-0015-0000-FFFF-FFFF06000000}" keepAlive="1" name="Query - Transform File from Fednet data" description="Connection to the 'Transform File from Fednet data' query in the workbook." type="5" refreshedVersion="0" background="1">
    <dbPr connection="Provider=Microsoft.Mashup.OleDb.1;Data Source=$Workbook$;Location=&quot;Transform File from Fednet data&quot;;Extended Properties=&quot;&quot;" command="SELECT * FROM [Transform File from Fednet data]"/>
  </connection>
  <connection id="8" xr16:uid="{00000000-0015-0000-FFFF-FFFF07000000}" keepAlive="1" name="Query - Transform File from FEDNET_PHOF_Headers" description="Connection to the 'Transform File from FEDNET_PHOF_Headers' query in the workbook." type="5" refreshedVersion="0" background="1">
    <dbPr connection="Provider=Microsoft.Mashup.OleDb.1;Data Source=$Workbook$;Location=&quot;Transform File from FEDNET_PHOF_Headers&quot;;Extended Properties=&quot;&quot;" command="SELECT * FROM [Transform File from FEDNET_PHOF_Headers]"/>
  </connection>
  <connection id="9" xr16:uid="{00000000-0015-0000-FFFF-FFFF08000000}" keepAlive="1" name="Query - Transform Sample File from Fednet data" description="Connection to the 'Transform Sample File from Fednet data' query in the workbook." type="5" refreshedVersion="0" background="1">
    <dbPr connection="Provider=Microsoft.Mashup.OleDb.1;Data Source=$Workbook$;Location=&quot;Transform Sample File from Fednet data&quot;;Extended Properties=&quot;&quot;" command="SELECT * FROM [Transform Sample File from Fednet data]"/>
  </connection>
  <connection id="10" xr16:uid="{00000000-0015-0000-FFFF-FFFF09000000}" keepAlive="1" name="Query - Transform Sample File from FEDNET_PHOF_Headers" description="Connection to the 'Transform Sample File from FEDNET_PHOF_Headers' query in the workbook." type="5" refreshedVersion="0" background="1">
    <dbPr connection="Provider=Microsoft.Mashup.OleDb.1;Data Source=$Workbook$;Location=&quot;Transform Sample File from FEDNET_PHOF_Headers&quot;;Extended Properties=&quot;&quot;" command="SELECT * FROM [Transform Sample File from FEDNET_PHOF_Headers]"/>
  </connection>
  <connection id="11" xr16:uid="{00000000-0015-0000-FFFF-FFFF0A000000}" keepAlive="1" name="Query - WF LD" description="Connection to the 'WF LD' query in the workbook." type="5" refreshedVersion="7" background="1" saveData="1">
    <dbPr connection="Provider=Microsoft.Mashup.OleDb.1;Data Source=$Workbook$;Location=&quot;WF LD&quot;;Extended Properties=&quot;&quot;" command="SELECT * FROM [WF LD]"/>
  </connection>
</connections>
</file>

<file path=xl/sharedStrings.xml><?xml version="1.0" encoding="utf-8"?>
<sst xmlns="http://schemas.openxmlformats.org/spreadsheetml/2006/main" count="1022" uniqueCount="273">
  <si>
    <t>Select a Date below</t>
  </si>
  <si>
    <t>SDLR03</t>
  </si>
  <si>
    <t>SDLR03TEP</t>
  </si>
  <si>
    <t>SDLR01-Q1</t>
  </si>
  <si>
    <t>SDLR02-Q1</t>
  </si>
  <si>
    <t>SDLR01-Q2</t>
  </si>
  <si>
    <t>SDLR02-Q2</t>
  </si>
  <si>
    <t>SDLR01-Q3</t>
  </si>
  <si>
    <t>SDLR02-Q3</t>
  </si>
  <si>
    <t>SDLR01-Q4</t>
  </si>
  <si>
    <t>SDLR02-Q4</t>
  </si>
  <si>
    <t>Aged 40-74</t>
  </si>
  <si>
    <t>Aged 40-74 not eligible for the NHS Health Check</t>
  </si>
  <si>
    <t>% not eligible</t>
  </si>
  <si>
    <t>Select a Practice &gt;&gt;</t>
  </si>
  <si>
    <t>Chingford Medical Practice</t>
  </si>
  <si>
    <t xml:space="preserve">Network </t>
  </si>
  <si>
    <t>Waltham Forest Total</t>
  </si>
  <si>
    <t xml:space="preserve">Total </t>
  </si>
  <si>
    <t>Waltham Forest ONS estimate</t>
  </si>
  <si>
    <t>E09000031</t>
  </si>
  <si>
    <t>TEP Difference CEG est / ONS est</t>
  </si>
  <si>
    <t>The figures in this region doesn't include fednet data</t>
  </si>
  <si>
    <t>**</t>
  </si>
  <si>
    <t>Systmone Practice</t>
  </si>
  <si>
    <t>Figures in this region doesn't include Fednet data</t>
  </si>
  <si>
    <t>Fednet &amp; Practice data tab shows  activities covered by practices and fednet separately</t>
  </si>
  <si>
    <t>Quarter 4</t>
  </si>
  <si>
    <t>Practice Name</t>
  </si>
  <si>
    <t>Organisation Code</t>
  </si>
  <si>
    <t>Y01291</t>
  </si>
  <si>
    <t>Churchill Medical Centre</t>
  </si>
  <si>
    <t>F86627</t>
  </si>
  <si>
    <t>The Ridgeway Surgery</t>
  </si>
  <si>
    <t>F86078</t>
  </si>
  <si>
    <t>Kings Head Medical Practice</t>
  </si>
  <si>
    <t>F86700</t>
  </si>
  <si>
    <t>Larkshall Medical Centre</t>
  </si>
  <si>
    <t>F86664</t>
  </si>
  <si>
    <t>Old Church Surgery</t>
  </si>
  <si>
    <t>F86616</t>
  </si>
  <si>
    <t>The Microfaculty **</t>
  </si>
  <si>
    <t>F86638</t>
  </si>
  <si>
    <t>The Manor Practice</t>
  </si>
  <si>
    <t>F86011</t>
  </si>
  <si>
    <t>The Allum Medical Centre</t>
  </si>
  <si>
    <t>F86036</t>
  </si>
  <si>
    <t>Sma Medical Centre</t>
  </si>
  <si>
    <t>F86038</t>
  </si>
  <si>
    <t xml:space="preserve"> Crawley Road Medical Centre</t>
  </si>
  <si>
    <t>F86044</t>
  </si>
  <si>
    <t>Francis Road Medical Centre</t>
  </si>
  <si>
    <t>F86696</t>
  </si>
  <si>
    <t>Green Man Medical Centre</t>
  </si>
  <si>
    <t>F86621</t>
  </si>
  <si>
    <t>Hampton Medical Centre</t>
  </si>
  <si>
    <t>F86712</t>
  </si>
  <si>
    <t>High Road Surgery</t>
  </si>
  <si>
    <t>F86045</t>
  </si>
  <si>
    <t>Kiyani Medical Practice</t>
  </si>
  <si>
    <t>F86701</t>
  </si>
  <si>
    <t>Lime Tree Surgery</t>
  </si>
  <si>
    <t>F86650</t>
  </si>
  <si>
    <t>LL Medical Care (Agarwal &amp; Agrwal Practice)</t>
  </si>
  <si>
    <t>F86625</t>
  </si>
  <si>
    <t>The Harrow Road Surgery</t>
  </si>
  <si>
    <t>F86666</t>
  </si>
  <si>
    <t>The Langthorne Sharma Family Practice</t>
  </si>
  <si>
    <t>F86705</t>
  </si>
  <si>
    <t>The Lyndhurst Surgery</t>
  </si>
  <si>
    <t>F86088</t>
  </si>
  <si>
    <t>Leyton Healthcare (Oliver Road) **</t>
  </si>
  <si>
    <t>F86074</t>
  </si>
  <si>
    <t>The Ecclesbourne Practice **</t>
  </si>
  <si>
    <t>F86018</t>
  </si>
  <si>
    <t>Addison Road Medical Practice</t>
  </si>
  <si>
    <t>F86607</t>
  </si>
  <si>
    <t>Claremont Medical Centre</t>
  </si>
  <si>
    <t>F86708</t>
  </si>
  <si>
    <t>The Firs</t>
  </si>
  <si>
    <t>F86001</t>
  </si>
  <si>
    <t xml:space="preserve"> The Penryhn Surgery</t>
  </si>
  <si>
    <t>F86005</t>
  </si>
  <si>
    <t>Dr Dhital Practice</t>
  </si>
  <si>
    <t>F86086</t>
  </si>
  <si>
    <t>Seymour Medical Centre</t>
  </si>
  <si>
    <t>F86006</t>
  </si>
  <si>
    <t>Dr Shantir Practice</t>
  </si>
  <si>
    <t>F86626</t>
  </si>
  <si>
    <t>Queen's Road Medical Centre</t>
  </si>
  <si>
    <t>F86030</t>
  </si>
  <si>
    <t>Grove Surgery</t>
  </si>
  <si>
    <t>F86062</t>
  </si>
  <si>
    <t>Higham Hill Medical Centre</t>
  </si>
  <si>
    <t>F86679</t>
  </si>
  <si>
    <t>Lime Tree &amp; Sinnott Healthcare Ltd</t>
  </si>
  <si>
    <t>Y01839</t>
  </si>
  <si>
    <t>St James Medical Practice Ltd</t>
  </si>
  <si>
    <t>F86058</t>
  </si>
  <si>
    <t>The Bailey Practice</t>
  </si>
  <si>
    <t>F86689</t>
  </si>
  <si>
    <t>Waltham Forest Community &amp; Family Health Services Ltd</t>
  </si>
  <si>
    <t>F86644</t>
  </si>
  <si>
    <t>Forest Surgery **</t>
  </si>
  <si>
    <t>F86026</t>
  </si>
  <si>
    <t>Handsworth Medical Centre **</t>
  </si>
  <si>
    <t>F86004</t>
  </si>
  <si>
    <t>Total</t>
  </si>
  <si>
    <t xml:space="preserve">Date Data: </t>
  </si>
  <si>
    <t>Kings Head Medical Practice (Fednet)</t>
  </si>
  <si>
    <t>F86700FN</t>
  </si>
  <si>
    <t>The Microfaculty</t>
  </si>
  <si>
    <t>The Microfaculty (Fednet)</t>
  </si>
  <si>
    <t>F86638FN</t>
  </si>
  <si>
    <t xml:space="preserve"> Queens Road Medical Centre</t>
  </si>
  <si>
    <t xml:space="preserve"> Queens Road Medical Centre (Fednet)</t>
  </si>
  <si>
    <t>F86030FN</t>
  </si>
  <si>
    <t>Seymour Medical Centre (Fednet)</t>
  </si>
  <si>
    <t>F86006FN</t>
  </si>
  <si>
    <t>Grove Surgery (Fednet)</t>
  </si>
  <si>
    <t>F86062FN</t>
  </si>
  <si>
    <t>Please note that  Fednet data reported under organisation code ending FN</t>
  </si>
  <si>
    <t>Term</t>
  </si>
  <si>
    <t>Definition</t>
  </si>
  <si>
    <t>5 Year Period 2</t>
  </si>
  <si>
    <t>01/04/2013 - 31/03/2018</t>
  </si>
  <si>
    <t>5 Year Period 1</t>
  </si>
  <si>
    <t>01/04/2008 - 31/03/2013</t>
  </si>
  <si>
    <t>Current Calculated Total Eligible Pop (TEP)</t>
  </si>
  <si>
    <t>Current Registered GP Patients on first day of Quarter</t>
  </si>
  <si>
    <t>Aged 40-74 years</t>
  </si>
  <si>
    <t>EXCLUDE Diabetes, Stroke, CHD, CKD, Hypertension, Heart Failure, Atrial Fibrillation or Peripheral Vascular Disease</t>
  </si>
  <si>
    <t>EXCLUDE Statins prescribed last 6m</t>
  </si>
  <si>
    <t>EXCLUDE QRISK &gt;=20%</t>
  </si>
  <si>
    <t>Health Check Offer</t>
  </si>
  <si>
    <t>Health Check Invitation by letter (1st), telephone, SMS, verbal.  Health Check done, declined, DNA [EARLIEST IN 5 Year Period 2]</t>
  </si>
  <si>
    <t>NHS Health Checks Offered</t>
  </si>
  <si>
    <t>All Registered GP Patients including Left &amp; Died</t>
  </si>
  <si>
    <t>Health Check Offer = reporting Quarter</t>
  </si>
  <si>
    <t>Aged 40-74 years at Health Check Offer</t>
  </si>
  <si>
    <t>EXCLUDE Diabetes, Stroke, CHD, CKD, Hypertension, Heart Failure, Atrial Fibrillation or Peripheral Vascular Disease BEFORE Health Check Offer</t>
  </si>
  <si>
    <t>EXCLUDE Statins prescribed last 6m BEFORE Health Check Offer</t>
  </si>
  <si>
    <t>EXCLUDE QRISK &gt;=20% IN 5 Year Period 1</t>
  </si>
  <si>
    <t>SDLR01-Q#</t>
  </si>
  <si>
    <t>NHS Health Check</t>
  </si>
  <si>
    <t>Health Check done  [EARLIEST IN 5 Year Period 2]</t>
  </si>
  <si>
    <t>NHS Health Checks Done</t>
  </si>
  <si>
    <t>NHS Health Check = reporting Quarter</t>
  </si>
  <si>
    <t>Aged 40-74 years at NHS Health Check</t>
  </si>
  <si>
    <t>EXCLUDE Diabetes, Stroke, CHD, CKD, Hypertension, Heart Failure, Atrial Fibrillation or Peripheral Vascular Disease BEFORE NHS Health Check</t>
  </si>
  <si>
    <t>EXCLUDE Statins prescribed last 6m BEFORE NHS Health Check</t>
  </si>
  <si>
    <t>SDLR02-Q#</t>
  </si>
  <si>
    <t>Data</t>
  </si>
  <si>
    <t>Address</t>
  </si>
  <si>
    <t>Quarter</t>
  </si>
  <si>
    <t>REL_D</t>
  </si>
  <si>
    <t>Data (Y/N)</t>
  </si>
  <si>
    <t>Quarter 1</t>
  </si>
  <si>
    <t>Q Work Sheet</t>
  </si>
  <si>
    <t>DATA</t>
  </si>
  <si>
    <t>Quarter 2</t>
  </si>
  <si>
    <t>Header Row</t>
  </si>
  <si>
    <t>Quarter 3</t>
  </si>
  <si>
    <t>Rows</t>
  </si>
  <si>
    <t>Columns</t>
  </si>
  <si>
    <t>OrgID</t>
  </si>
  <si>
    <t>IND</t>
  </si>
  <si>
    <t xml:space="preserve"> -</t>
  </si>
  <si>
    <t>NwID</t>
  </si>
  <si>
    <t>AUDIT_T</t>
  </si>
  <si>
    <t>X</t>
  </si>
  <si>
    <t>AUDIT_DD</t>
  </si>
  <si>
    <t>AUDIT_C</t>
  </si>
  <si>
    <t>SDLR01a</t>
  </si>
  <si>
    <t>SDLR01</t>
  </si>
  <si>
    <t>SDLR02</t>
  </si>
  <si>
    <t>SDLR02a</t>
  </si>
  <si>
    <t>SDLR03a</t>
  </si>
  <si>
    <t>00-00</t>
  </si>
  <si>
    <t>IND markers:</t>
  </si>
  <si>
    <t>{</t>
  </si>
  <si>
    <t>}</t>
  </si>
  <si>
    <t>1st IND</t>
  </si>
  <si>
    <t>RED: Search IND+Titles don't match</t>
  </si>
  <si>
    <t>1st Title</t>
  </si>
  <si>
    <t>NHS HC LBH Audit Report</t>
  </si>
  <si>
    <t>Last Run:</t>
  </si>
  <si>
    <t>Population Count</t>
  </si>
  <si>
    <t>Search</t>
  </si>
  <si>
    <t>{SDLR01a} Excluding ineligible for NHS Health Check (SDLR)</t>
  </si>
  <si>
    <t>{SDLR01} NHS Health Checks offered 2021-2022</t>
  </si>
  <si>
    <t>{SDLR02} NHS Health Checks done 2021-2022</t>
  </si>
  <si>
    <t>{SDLR03} Current Aged 40-74yrs</t>
  </si>
  <si>
    <t>{SDLR01-Q1} NHS Health Checks offered</t>
  </si>
  <si>
    <t>{SDLR01-Q2} NHS Health Checks offered</t>
  </si>
  <si>
    <t>{SDLR01-Q3} NHS Health Checks offered</t>
  </si>
  <si>
    <t>{SDLR01-Q4} NHS Health Checks offered</t>
  </si>
  <si>
    <t>{SDLR02a} Excluding ineligible for NHS Health Check (SDLR)</t>
  </si>
  <si>
    <t>{SDLR02-Q1} NHS Health Checks done</t>
  </si>
  <si>
    <t>{SDLR02-Q2} NHS Health Checks done</t>
  </si>
  <si>
    <t>{SDLR02-Q3} NHS Health Checks done</t>
  </si>
  <si>
    <t>{SDLR02-Q4} NHS Health Checks done</t>
  </si>
  <si>
    <t>{SDLR03a} Excl DM, IHD, Stroke/TIA, HyperT, PAD, FH, CKD, AF, HF,Statins</t>
  </si>
  <si>
    <t>{SDLR03TEP} current eligible TEP</t>
  </si>
  <si>
    <t>{00-00} Listsize</t>
  </si>
  <si>
    <t>Males</t>
  </si>
  <si>
    <t>Relative Date:</t>
  </si>
  <si>
    <t>Females</t>
  </si>
  <si>
    <t>0</t>
  </si>
  <si>
    <t>Rel_D</t>
  </si>
  <si>
    <t>Excluding ineligible for NHS Health Check (SDLR)</t>
  </si>
  <si>
    <t>NHS Health Checks offered 2021-2022</t>
  </si>
  <si>
    <t>NHS Health Checks done 2021-2022</t>
  </si>
  <si>
    <t>Current Aged 40-74yrs</t>
  </si>
  <si>
    <t>NHS Health Checks offered</t>
  </si>
  <si>
    <t>NHS Health Checks done</t>
  </si>
  <si>
    <t>Excl DM, IHD, Stroke/TIA, HyperT, PAD, FH, CKD, AF, HF,Statins</t>
  </si>
  <si>
    <t>current eligible TEP</t>
  </si>
  <si>
    <t>Listsize</t>
  </si>
  <si>
    <t>Select Practice</t>
  </si>
  <si>
    <t>DN Team</t>
  </si>
  <si>
    <t>Patch</t>
  </si>
  <si>
    <t>Network</t>
  </si>
  <si>
    <t>selected OrgID</t>
  </si>
  <si>
    <t>WF-2</t>
  </si>
  <si>
    <t>WF-1</t>
  </si>
  <si>
    <t>WF-3</t>
  </si>
  <si>
    <t>WF-4</t>
  </si>
  <si>
    <t>Chingford/ Walthamstow</t>
  </si>
  <si>
    <t>Chingford E4</t>
  </si>
  <si>
    <t>WF-5</t>
  </si>
  <si>
    <t>Leyton Collaborative</t>
  </si>
  <si>
    <t>Forest Integrated Health</t>
  </si>
  <si>
    <t>South Leytonstone</t>
  </si>
  <si>
    <t>WF-6</t>
  </si>
  <si>
    <t>Central Walthamstow</t>
  </si>
  <si>
    <t>WF-7</t>
  </si>
  <si>
    <t>Walthamstow West</t>
  </si>
  <si>
    <t xml:space="preserve"> The Firs</t>
  </si>
  <si>
    <t>Total (emis)</t>
  </si>
  <si>
    <t>kings</t>
  </si>
  <si>
    <t>Micr</t>
  </si>
  <si>
    <t>grove</t>
  </si>
  <si>
    <t>Queens</t>
  </si>
  <si>
    <t>F86700#</t>
  </si>
  <si>
    <t xml:space="preserve">Kings Head Medical Practice </t>
  </si>
  <si>
    <t>F86638#</t>
  </si>
  <si>
    <t>F86062#</t>
  </si>
  <si>
    <t>F86030#</t>
  </si>
  <si>
    <t>F86006#</t>
  </si>
  <si>
    <t>PHOF Fednet v10</t>
  </si>
  <si>
    <t>Y04900</t>
  </si>
  <si>
    <t>King's Head Medical Practice</t>
  </si>
  <si>
    <t>Practice</t>
  </si>
  <si>
    <t>00-00 Listsize</t>
  </si>
  <si>
    <t>1.0 {SDLR01} NHS Health Checks offered 2021-2022</t>
  </si>
  <si>
    <t>1.1 {SDLR01a} Excluding ineligible NHS Health Check (SDLR)</t>
  </si>
  <si>
    <t>1.2 {SDLR01-Q1} NHS Health Checks offered</t>
  </si>
  <si>
    <t>1.3 {SDLR01-Q2} NHS Health Checks offered</t>
  </si>
  <si>
    <t>1.4 {SDLR01-Q3} NHS Health Checks offered</t>
  </si>
  <si>
    <t>2.0 {SDLR02 NHS Health Checks done 2021-2022</t>
  </si>
  <si>
    <t>2.1 {SDLR02a} Excluding ineligible NHS Health Check (SDLR)</t>
  </si>
  <si>
    <t>2.2 {SDLR02-Q1} NHS Health Checks done</t>
  </si>
  <si>
    <t>2.3 {SDLR02-Q2} NHS Health Checks done</t>
  </si>
  <si>
    <t>2.4 {SDLR02-Q3} NHS Health Checks done</t>
  </si>
  <si>
    <t>3.0 {SDLR03} Patients Aged 40-74</t>
  </si>
  <si>
    <t>3.1 {SDLR03a} Excl DM, IHD, Stroke TIA, HyperT, PAD, FH, CKD, AF, HF, Statins</t>
  </si>
  <si>
    <t>3.2 {SDLR03TEP} Current eligible TEP</t>
  </si>
  <si>
    <t>Dr Oraelosi and Partners</t>
  </si>
  <si>
    <t>Forest Surgery</t>
  </si>
  <si>
    <t>Handsworth Medical Practice</t>
  </si>
  <si>
    <t>Leyton Healthcare</t>
  </si>
  <si>
    <t>The Grove Medical Centre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</si>
</sst>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8"/>
      <name val="Calibri"/>
      <family val="2"/>
      <scheme val="minor"/>
    </font>
    <font>
      <sz val="1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b/>
      <i/>
      <sz val="11"/>
      <color theme="4" tint="0.59999389629810485"/>
      <name val="Calibri"/>
      <family val="2"/>
      <scheme val="minor"/>
    </font>
    <font>
      <i/>
      <sz val="11"/>
      <color theme="4" tint="0.59999389629810485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7" tint="-0.249977111117893"/>
      <name val="Calibri"/>
      <family val="2"/>
      <scheme val="minor"/>
    </font>
    <font>
      <sz val="11"/>
      <color theme="0"/>
      <name val="Calibri"/>
      <family val="2"/>
      <scheme val="minor"/>
    </font>
    <font>
      <sz val="20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  <font>
      <b/>
      <sz val="11"/>
      <color rgb="FF002060"/>
      <name val="Calibri"/>
      <family val="2"/>
      <scheme val="minor"/>
    </font>
    <font>
      <b/>
      <sz val="11"/>
      <color theme="1" tint="0.249977111117893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000000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5F5F5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  <bgColor theme="9"/>
      </patternFill>
    </fill>
    <fill>
      <patternFill patternType="solid">
        <fgColor theme="9" tint="0.79998168889431442"/>
        <bgColor theme="9" tint="0.79998168889431442"/>
      </patternFill>
    </fill>
  </fills>
  <borders count="6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4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4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rgb="FF7030A0"/>
      </left>
      <right/>
      <top style="thick">
        <color rgb="FF7030A0"/>
      </top>
      <bottom/>
      <diagonal/>
    </border>
    <border>
      <left/>
      <right/>
      <top style="thick">
        <color rgb="FF7030A0"/>
      </top>
      <bottom/>
      <diagonal/>
    </border>
    <border>
      <left/>
      <right style="thick">
        <color rgb="FF7030A0"/>
      </right>
      <top style="thick">
        <color rgb="FF7030A0"/>
      </top>
      <bottom/>
      <diagonal/>
    </border>
    <border>
      <left style="thick">
        <color rgb="FF7030A0"/>
      </left>
      <right/>
      <top/>
      <bottom/>
      <diagonal/>
    </border>
    <border>
      <left/>
      <right style="thick">
        <color rgb="FF7030A0"/>
      </right>
      <top/>
      <bottom/>
      <diagonal/>
    </border>
    <border>
      <left style="thick">
        <color rgb="FF7030A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ck">
        <color rgb="FF7030A0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ck">
        <color rgb="FF7030A0"/>
      </right>
      <top style="thin">
        <color theme="0" tint="-0.249977111117893"/>
      </top>
      <bottom style="thin">
        <color theme="0" tint="-0.249977111117893"/>
      </bottom>
      <diagonal/>
    </border>
    <border>
      <left style="thick">
        <color rgb="FF7030A0"/>
      </left>
      <right/>
      <top/>
      <bottom style="thick">
        <color rgb="FF7030A0"/>
      </bottom>
      <diagonal/>
    </border>
    <border>
      <left/>
      <right/>
      <top/>
      <bottom style="thick">
        <color rgb="FF7030A0"/>
      </bottom>
      <diagonal/>
    </border>
    <border>
      <left/>
      <right style="thick">
        <color rgb="FF7030A0"/>
      </right>
      <top/>
      <bottom style="thick">
        <color rgb="FF7030A0"/>
      </bottom>
      <diagonal/>
    </border>
    <border>
      <left style="thick">
        <color rgb="FF7030A0"/>
      </left>
      <right style="thin">
        <color theme="0" tint="-0.34998626667073579"/>
      </right>
      <top style="thin">
        <color indexed="64"/>
      </top>
      <bottom/>
      <diagonal/>
    </border>
    <border>
      <left/>
      <right style="thin">
        <color theme="4" tint="-0.249977111117893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ck">
        <color rgb="FF7030A0"/>
      </left>
      <right style="thin">
        <color theme="0" tint="-0.34998626667073579"/>
      </right>
      <top style="medium">
        <color rgb="FF7030A0"/>
      </top>
      <bottom style="thin">
        <color indexed="64"/>
      </bottom>
      <diagonal/>
    </border>
    <border>
      <left/>
      <right style="thin">
        <color theme="4" tint="-0.249977111117893"/>
      </right>
      <top style="medium">
        <color rgb="FF7030A0"/>
      </top>
      <bottom style="thin">
        <color indexed="64"/>
      </bottom>
      <diagonal/>
    </border>
    <border>
      <left/>
      <right/>
      <top style="medium">
        <color rgb="FF7030A0"/>
      </top>
      <bottom style="thin">
        <color indexed="64"/>
      </bottom>
      <diagonal/>
    </border>
    <border>
      <left/>
      <right/>
      <top style="medium">
        <color rgb="FF7030A0"/>
      </top>
      <bottom/>
      <diagonal/>
    </border>
    <border>
      <left/>
      <right style="thick">
        <color rgb="FF7030A0"/>
      </right>
      <top style="medium">
        <color rgb="FF7030A0"/>
      </top>
      <bottom/>
      <diagonal/>
    </border>
    <border>
      <left style="thick">
        <color rgb="FF7030A0"/>
      </left>
      <right style="thin">
        <color theme="0" tint="-0.34998626667073579"/>
      </right>
      <top/>
      <bottom style="medium">
        <color rgb="FF7030A0"/>
      </bottom>
      <diagonal/>
    </border>
    <border>
      <left/>
      <right style="thin">
        <color theme="4" tint="-0.249977111117893"/>
      </right>
      <top/>
      <bottom style="medium">
        <color rgb="FF7030A0"/>
      </bottom>
      <diagonal/>
    </border>
    <border>
      <left/>
      <right/>
      <top/>
      <bottom style="medium">
        <color rgb="FF7030A0"/>
      </bottom>
      <diagonal/>
    </border>
    <border>
      <left/>
      <right style="thick">
        <color rgb="FF7030A0"/>
      </right>
      <top/>
      <bottom style="medium">
        <color rgb="FF7030A0"/>
      </bottom>
      <diagonal/>
    </border>
    <border>
      <left style="thick">
        <color rgb="FF7030A0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4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ck">
        <color rgb="FF7030A0"/>
      </right>
      <top/>
      <bottom style="thin">
        <color theme="0" tint="-0.249977111117893"/>
      </bottom>
      <diagonal/>
    </border>
    <border>
      <left/>
      <right style="thin">
        <color theme="4" tint="-0.249977111117893"/>
      </right>
      <top/>
      <bottom style="thick">
        <color rgb="FF7030A0"/>
      </bottom>
      <diagonal/>
    </border>
    <border>
      <left/>
      <right style="thin">
        <color theme="8" tint="0.59996337778862885"/>
      </right>
      <top/>
      <bottom/>
      <diagonal/>
    </border>
    <border>
      <left/>
      <right style="medium">
        <color rgb="FF7030A0"/>
      </right>
      <top/>
      <bottom/>
      <diagonal/>
    </border>
    <border>
      <left style="thick">
        <color rgb="FF7030A0"/>
      </left>
      <right style="medium">
        <color rgb="FF7030A0"/>
      </right>
      <top/>
      <bottom style="medium">
        <color rgb="FF7030A0"/>
      </bottom>
      <diagonal/>
    </border>
    <border>
      <left style="medium">
        <color rgb="FF7030A0"/>
      </left>
      <right/>
      <top style="medium">
        <color rgb="FF7030A0"/>
      </top>
      <bottom/>
      <diagonal/>
    </border>
    <border>
      <left/>
      <right style="medium">
        <color rgb="FF7030A0"/>
      </right>
      <top style="medium">
        <color rgb="FF7030A0"/>
      </top>
      <bottom/>
      <diagonal/>
    </border>
    <border>
      <left style="medium">
        <color rgb="FF7030A0"/>
      </left>
      <right/>
      <top/>
      <bottom/>
      <diagonal/>
    </border>
    <border>
      <left style="medium">
        <color rgb="FF7030A0"/>
      </left>
      <right/>
      <top style="double">
        <color rgb="FF7030A0"/>
      </top>
      <bottom style="medium">
        <color rgb="FF7030A0"/>
      </bottom>
      <diagonal/>
    </border>
    <border>
      <left/>
      <right/>
      <top style="double">
        <color rgb="FF7030A0"/>
      </top>
      <bottom style="medium">
        <color rgb="FF7030A0"/>
      </bottom>
      <diagonal/>
    </border>
    <border>
      <left/>
      <right style="medium">
        <color rgb="FF7030A0"/>
      </right>
      <top style="double">
        <color rgb="FF7030A0"/>
      </top>
      <bottom style="medium">
        <color rgb="FF7030A0"/>
      </bottom>
      <diagonal/>
    </border>
    <border>
      <left style="medium">
        <color rgb="FF7030A0"/>
      </left>
      <right style="medium">
        <color rgb="FF7030A0"/>
      </right>
      <top/>
      <bottom style="double">
        <color rgb="FF7030A0"/>
      </bottom>
      <diagonal/>
    </border>
    <border>
      <left/>
      <right style="thick">
        <color rgb="FF7030A0"/>
      </right>
      <top style="double">
        <color rgb="FF7030A0"/>
      </top>
      <bottom style="medium">
        <color rgb="FF7030A0"/>
      </bottom>
      <diagonal/>
    </border>
    <border>
      <left style="thick">
        <color rgb="FF7030A0"/>
      </left>
      <right style="medium">
        <color rgb="FF7030A0"/>
      </right>
      <top style="medium">
        <color rgb="FF7030A0"/>
      </top>
      <bottom style="thin">
        <color rgb="FF7030A0"/>
      </bottom>
      <diagonal/>
    </border>
    <border>
      <left/>
      <right style="thin">
        <color theme="4" tint="-0.249977111117893"/>
      </right>
      <top style="medium">
        <color rgb="FF7030A0"/>
      </top>
      <bottom style="thin">
        <color rgb="FF7030A0"/>
      </bottom>
      <diagonal/>
    </border>
    <border>
      <left/>
      <right/>
      <top style="medium">
        <color rgb="FF7030A0"/>
      </top>
      <bottom style="thin">
        <color rgb="FF7030A0"/>
      </bottom>
      <diagonal/>
    </border>
    <border>
      <left style="medium">
        <color theme="3" tint="-0.24994659260841701"/>
      </left>
      <right style="medium">
        <color theme="3" tint="-0.24994659260841701"/>
      </right>
      <top style="medium">
        <color theme="3" tint="-0.24994659260841701"/>
      </top>
      <bottom style="medium">
        <color theme="3" tint="-0.2499465926084170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medium">
        <color indexed="64"/>
      </left>
      <right/>
      <top/>
      <bottom/>
      <diagonal/>
    </border>
    <border>
      <left style="thick">
        <color auto="1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7030A0"/>
      </left>
      <right style="thin">
        <color theme="0" tint="-0.249977111117893"/>
      </right>
      <top/>
      <bottom/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</borders>
  <cellStyleXfs count="7">
    <xf numFmtId="0" fontId="0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6" fillId="0" borderId="0"/>
    <xf numFmtId="9" fontId="7" fillId="0" borderId="0" applyFont="0" applyFill="0" applyBorder="0" applyAlignment="0" applyProtection="0"/>
  </cellStyleXfs>
  <cellXfs count="200">
    <xf numFmtId="0" fontId="0" fillId="0" borderId="0" xfId="0"/>
    <xf numFmtId="0" fontId="1" fillId="0" borderId="0" xfId="0" applyFont="1"/>
    <xf numFmtId="14" fontId="5" fillId="5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1" fillId="2" borderId="0" xfId="0" applyFont="1" applyFill="1"/>
    <xf numFmtId="0" fontId="0" fillId="0" borderId="0" xfId="0" applyAlignment="1">
      <alignment vertical="top"/>
    </xf>
    <xf numFmtId="0" fontId="5" fillId="5" borderId="0" xfId="0" applyFont="1" applyFill="1" applyAlignment="1">
      <alignment horizontal="left"/>
    </xf>
    <xf numFmtId="15" fontId="0" fillId="0" borderId="0" xfId="0" applyNumberFormat="1"/>
    <xf numFmtId="22" fontId="0" fillId="0" borderId="0" xfId="0" applyNumberFormat="1"/>
    <xf numFmtId="14" fontId="1" fillId="2" borderId="0" xfId="0" applyNumberFormat="1" applyFont="1" applyFill="1"/>
    <xf numFmtId="0" fontId="0" fillId="2" borderId="0" xfId="0" applyFill="1"/>
    <xf numFmtId="0" fontId="0" fillId="2" borderId="0" xfId="0" applyFill="1" applyAlignment="1">
      <alignment horizontal="center"/>
    </xf>
    <xf numFmtId="0" fontId="0" fillId="0" borderId="1" xfId="0" applyBorder="1"/>
    <xf numFmtId="14" fontId="0" fillId="2" borderId="4" xfId="0" applyNumberFormat="1" applyFill="1" applyBorder="1"/>
    <xf numFmtId="0" fontId="0" fillId="2" borderId="4" xfId="0" applyFill="1" applyBorder="1"/>
    <xf numFmtId="0" fontId="0" fillId="2" borderId="4" xfId="0" applyFill="1" applyBorder="1" applyAlignment="1">
      <alignment horizontal="center"/>
    </xf>
    <xf numFmtId="0" fontId="8" fillId="2" borderId="5" xfId="0" applyFont="1" applyFill="1" applyBorder="1"/>
    <xf numFmtId="14" fontId="0" fillId="2" borderId="6" xfId="0" applyNumberFormat="1" applyFill="1" applyBorder="1" applyAlignment="1">
      <alignment vertical="top" wrapText="1"/>
    </xf>
    <xf numFmtId="0" fontId="0" fillId="2" borderId="7" xfId="0" applyFill="1" applyBorder="1" applyAlignment="1">
      <alignment vertical="top" wrapText="1"/>
    </xf>
    <xf numFmtId="0" fontId="0" fillId="2" borderId="6" xfId="0" applyFill="1" applyBorder="1" applyAlignment="1">
      <alignment vertical="top" wrapText="1"/>
    </xf>
    <xf numFmtId="0" fontId="4" fillId="2" borderId="7" xfId="0" applyFont="1" applyFill="1" applyBorder="1" applyAlignment="1">
      <alignment vertical="top" wrapText="1"/>
    </xf>
    <xf numFmtId="0" fontId="8" fillId="2" borderId="7" xfId="0" applyFont="1" applyFill="1" applyBorder="1" applyAlignment="1">
      <alignment vertical="top" wrapText="1"/>
    </xf>
    <xf numFmtId="0" fontId="0" fillId="0" borderId="0" xfId="0" applyAlignment="1">
      <alignment vertical="top" wrapText="1"/>
    </xf>
    <xf numFmtId="14" fontId="0" fillId="0" borderId="8" xfId="0" applyNumberFormat="1" applyBorder="1"/>
    <xf numFmtId="14" fontId="0" fillId="0" borderId="0" xfId="0" applyNumberFormat="1"/>
    <xf numFmtId="0" fontId="1" fillId="3" borderId="0" xfId="0" applyFont="1" applyFill="1"/>
    <xf numFmtId="0" fontId="1" fillId="3" borderId="0" xfId="0" applyFont="1" applyFill="1" applyAlignment="1">
      <alignment horizontal="left" vertical="center"/>
    </xf>
    <xf numFmtId="0" fontId="5" fillId="3" borderId="0" xfId="0" applyFont="1" applyFill="1"/>
    <xf numFmtId="0" fontId="0" fillId="0" borderId="0" xfId="0" applyAlignment="1">
      <alignment horizontal="left" vertical="center"/>
    </xf>
    <xf numFmtId="0" fontId="9" fillId="0" borderId="1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0" fillId="3" borderId="0" xfId="0" applyFont="1" applyFill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9" fillId="7" borderId="2" xfId="0" applyFont="1" applyFill="1" applyBorder="1"/>
    <xf numFmtId="0" fontId="9" fillId="7" borderId="3" xfId="0" applyFont="1" applyFill="1" applyBorder="1"/>
    <xf numFmtId="14" fontId="5" fillId="6" borderId="0" xfId="0" applyNumberFormat="1" applyFont="1" applyFill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0" fillId="0" borderId="9" xfId="0" applyBorder="1" applyAlignment="1">
      <alignment horizontal="right"/>
    </xf>
    <xf numFmtId="9" fontId="0" fillId="0" borderId="9" xfId="6" applyFont="1" applyBorder="1" applyAlignment="1">
      <alignment horizontal="right"/>
    </xf>
    <xf numFmtId="0" fontId="12" fillId="0" borderId="0" xfId="0" applyFont="1" applyAlignment="1">
      <alignment horizontal="center" vertical="center"/>
    </xf>
    <xf numFmtId="0" fontId="0" fillId="0" borderId="11" xfId="0" applyBorder="1" applyAlignment="1">
      <alignment horizontal="right"/>
    </xf>
    <xf numFmtId="0" fontId="0" fillId="0" borderId="12" xfId="0" applyBorder="1" applyAlignment="1">
      <alignment horizontal="right"/>
    </xf>
    <xf numFmtId="0" fontId="1" fillId="0" borderId="12" xfId="0" applyFont="1" applyBorder="1" applyAlignment="1">
      <alignment horizontal="center"/>
    </xf>
    <xf numFmtId="14" fontId="14" fillId="5" borderId="0" xfId="0" applyNumberFormat="1" applyFont="1" applyFill="1" applyAlignment="1">
      <alignment horizontal="left" vertical="center"/>
    </xf>
    <xf numFmtId="14" fontId="14" fillId="6" borderId="0" xfId="0" applyNumberFormat="1" applyFont="1" applyFill="1" applyAlignment="1">
      <alignment horizontal="left" vertical="center"/>
    </xf>
    <xf numFmtId="0" fontId="9" fillId="0" borderId="9" xfId="0" applyFont="1" applyBorder="1" applyAlignment="1">
      <alignment horizontal="right"/>
    </xf>
    <xf numFmtId="0" fontId="1" fillId="0" borderId="4" xfId="0" applyFont="1" applyBorder="1"/>
    <xf numFmtId="0" fontId="0" fillId="0" borderId="4" xfId="0" applyBorder="1"/>
    <xf numFmtId="0" fontId="1" fillId="0" borderId="4" xfId="0" applyFont="1" applyBorder="1" applyAlignment="1">
      <alignment vertical="top"/>
    </xf>
    <xf numFmtId="0" fontId="0" fillId="0" borderId="4" xfId="0" applyBorder="1" applyAlignment="1">
      <alignment wrapText="1"/>
    </xf>
    <xf numFmtId="0" fontId="0" fillId="0" borderId="0" xfId="0" applyAlignment="1">
      <alignment horizontal="left"/>
    </xf>
    <xf numFmtId="0" fontId="12" fillId="0" borderId="0" xfId="0" applyFont="1" applyAlignment="1">
      <alignment horizontal="left" vertical="center"/>
    </xf>
    <xf numFmtId="0" fontId="12" fillId="0" borderId="0" xfId="0" applyFont="1" applyAlignment="1">
      <alignment horizontal="left" vertical="top"/>
    </xf>
    <xf numFmtId="0" fontId="0" fillId="3" borderId="10" xfId="0" applyFill="1" applyBorder="1"/>
    <xf numFmtId="0" fontId="5" fillId="0" borderId="1" xfId="0" applyFont="1" applyBorder="1"/>
    <xf numFmtId="14" fontId="1" fillId="4" borderId="10" xfId="0" applyNumberFormat="1" applyFont="1" applyFill="1" applyBorder="1" applyAlignment="1">
      <alignment horizontal="center" vertical="top" wrapText="1"/>
    </xf>
    <xf numFmtId="0" fontId="13" fillId="0" borderId="13" xfId="0" applyFont="1" applyBorder="1" applyAlignment="1">
      <alignment vertical="center"/>
    </xf>
    <xf numFmtId="0" fontId="0" fillId="0" borderId="14" xfId="0" applyBorder="1"/>
    <xf numFmtId="0" fontId="2" fillId="0" borderId="14" xfId="0" applyFont="1" applyBorder="1" applyAlignment="1">
      <alignment vertical="center"/>
    </xf>
    <xf numFmtId="0" fontId="0" fillId="0" borderId="15" xfId="0" applyBorder="1"/>
    <xf numFmtId="0" fontId="5" fillId="0" borderId="16" xfId="0" applyFont="1" applyBorder="1"/>
    <xf numFmtId="0" fontId="12" fillId="0" borderId="17" xfId="0" applyFont="1" applyBorder="1" applyAlignment="1">
      <alignment horizontal="center" vertical="top"/>
    </xf>
    <xf numFmtId="0" fontId="1" fillId="7" borderId="18" xfId="0" applyFont="1" applyFill="1" applyBorder="1"/>
    <xf numFmtId="0" fontId="1" fillId="3" borderId="0" xfId="0" applyFont="1" applyFill="1" applyAlignment="1">
      <alignment horizontal="center" vertical="top" wrapText="1"/>
    </xf>
    <xf numFmtId="0" fontId="0" fillId="3" borderId="0" xfId="0" applyFill="1"/>
    <xf numFmtId="14" fontId="14" fillId="6" borderId="17" xfId="0" applyNumberFormat="1" applyFont="1" applyFill="1" applyBorder="1" applyAlignment="1">
      <alignment horizontal="left" vertical="center"/>
    </xf>
    <xf numFmtId="0" fontId="1" fillId="0" borderId="19" xfId="0" applyFont="1" applyBorder="1"/>
    <xf numFmtId="0" fontId="0" fillId="0" borderId="20" xfId="0" applyBorder="1" applyAlignment="1">
      <alignment horizontal="right"/>
    </xf>
    <xf numFmtId="0" fontId="1" fillId="0" borderId="17" xfId="0" applyFont="1" applyBorder="1"/>
    <xf numFmtId="0" fontId="0" fillId="8" borderId="0" xfId="0" applyFill="1"/>
    <xf numFmtId="0" fontId="0" fillId="8" borderId="17" xfId="0" applyFill="1" applyBorder="1"/>
    <xf numFmtId="0" fontId="0" fillId="8" borderId="22" xfId="0" applyFill="1" applyBorder="1"/>
    <xf numFmtId="0" fontId="0" fillId="8" borderId="23" xfId="0" applyFill="1" applyBorder="1"/>
    <xf numFmtId="0" fontId="1" fillId="0" borderId="24" xfId="0" applyFont="1" applyBorder="1"/>
    <xf numFmtId="0" fontId="0" fillId="0" borderId="25" xfId="0" applyBorder="1"/>
    <xf numFmtId="0" fontId="1" fillId="0" borderId="26" xfId="0" applyFont="1" applyBorder="1" applyAlignment="1">
      <alignment horizontal="right"/>
    </xf>
    <xf numFmtId="0" fontId="5" fillId="0" borderId="26" xfId="0" applyFont="1" applyBorder="1" applyAlignment="1">
      <alignment horizontal="right"/>
    </xf>
    <xf numFmtId="9" fontId="1" fillId="0" borderId="26" xfId="6" applyFont="1" applyBorder="1" applyAlignment="1">
      <alignment horizontal="right"/>
    </xf>
    <xf numFmtId="0" fontId="1" fillId="0" borderId="25" xfId="0" applyFont="1" applyBorder="1"/>
    <xf numFmtId="0" fontId="1" fillId="0" borderId="27" xfId="0" applyFont="1" applyBorder="1"/>
    <xf numFmtId="9" fontId="9" fillId="0" borderId="29" xfId="6" applyFont="1" applyFill="1" applyBorder="1"/>
    <xf numFmtId="0" fontId="1" fillId="0" borderId="30" xfId="0" applyFont="1" applyBorder="1"/>
    <xf numFmtId="0" fontId="1" fillId="0" borderId="31" xfId="0" applyFont="1" applyBorder="1"/>
    <xf numFmtId="0" fontId="1" fillId="0" borderId="32" xfId="0" applyFont="1" applyBorder="1" applyAlignment="1">
      <alignment horizontal="left"/>
    </xf>
    <xf numFmtId="0" fontId="0" fillId="0" borderId="33" xfId="0" applyBorder="1"/>
    <xf numFmtId="0" fontId="1" fillId="0" borderId="34" xfId="0" applyFont="1" applyBorder="1"/>
    <xf numFmtId="1" fontId="1" fillId="0" borderId="34" xfId="0" applyNumberFormat="1" applyFont="1" applyBorder="1"/>
    <xf numFmtId="9" fontId="1" fillId="0" borderId="34" xfId="6" applyFont="1" applyBorder="1"/>
    <xf numFmtId="0" fontId="0" fillId="0" borderId="34" xfId="0" applyBorder="1"/>
    <xf numFmtId="0" fontId="0" fillId="0" borderId="35" xfId="0" applyBorder="1"/>
    <xf numFmtId="0" fontId="16" fillId="8" borderId="0" xfId="0" applyFont="1" applyFill="1"/>
    <xf numFmtId="0" fontId="15" fillId="8" borderId="0" xfId="0" applyFont="1" applyFill="1"/>
    <xf numFmtId="0" fontId="17" fillId="8" borderId="0" xfId="0" applyFont="1" applyFill="1"/>
    <xf numFmtId="0" fontId="1" fillId="0" borderId="36" xfId="0" applyFont="1" applyBorder="1"/>
    <xf numFmtId="0" fontId="1" fillId="0" borderId="37" xfId="0" applyFont="1" applyBorder="1" applyAlignment="1">
      <alignment horizontal="center"/>
    </xf>
    <xf numFmtId="0" fontId="0" fillId="0" borderId="38" xfId="0" applyBorder="1" applyAlignment="1">
      <alignment horizontal="right"/>
    </xf>
    <xf numFmtId="0" fontId="9" fillId="0" borderId="39" xfId="0" applyFont="1" applyBorder="1" applyAlignment="1">
      <alignment horizontal="right"/>
    </xf>
    <xf numFmtId="9" fontId="0" fillId="0" borderId="39" xfId="6" applyFont="1" applyBorder="1" applyAlignment="1">
      <alignment horizontal="right"/>
    </xf>
    <xf numFmtId="0" fontId="0" fillId="0" borderId="37" xfId="0" applyBorder="1" applyAlignment="1">
      <alignment horizontal="right"/>
    </xf>
    <xf numFmtId="0" fontId="0" fillId="0" borderId="39" xfId="0" applyBorder="1" applyAlignment="1">
      <alignment horizontal="right"/>
    </xf>
    <xf numFmtId="0" fontId="0" fillId="0" borderId="40" xfId="0" applyBorder="1" applyAlignment="1">
      <alignment horizontal="right"/>
    </xf>
    <xf numFmtId="0" fontId="1" fillId="4" borderId="21" xfId="0" applyFont="1" applyFill="1" applyBorder="1" applyAlignment="1">
      <alignment horizontal="center" vertical="top"/>
    </xf>
    <xf numFmtId="0" fontId="1" fillId="4" borderId="41" xfId="0" applyFont="1" applyFill="1" applyBorder="1" applyAlignment="1">
      <alignment horizontal="center" vertical="top" wrapText="1"/>
    </xf>
    <xf numFmtId="0" fontId="1" fillId="3" borderId="22" xfId="0" applyFont="1" applyFill="1" applyBorder="1" applyAlignment="1">
      <alignment horizontal="center" vertical="top" wrapText="1"/>
    </xf>
    <xf numFmtId="0" fontId="1" fillId="3" borderId="41" xfId="0" applyFont="1" applyFill="1" applyBorder="1" applyAlignment="1">
      <alignment horizontal="center" vertical="top" wrapText="1"/>
    </xf>
    <xf numFmtId="14" fontId="5" fillId="4" borderId="22" xfId="0" applyNumberFormat="1" applyFont="1" applyFill="1" applyBorder="1" applyAlignment="1">
      <alignment horizontal="center" vertical="top" wrapText="1"/>
    </xf>
    <xf numFmtId="14" fontId="5" fillId="3" borderId="22" xfId="0" applyNumberFormat="1" applyFont="1" applyFill="1" applyBorder="1" applyAlignment="1">
      <alignment horizontal="center" vertical="top" wrapText="1"/>
    </xf>
    <xf numFmtId="14" fontId="5" fillId="3" borderId="23" xfId="0" applyNumberFormat="1" applyFont="1" applyFill="1" applyBorder="1" applyAlignment="1">
      <alignment horizontal="center" vertical="top" wrapText="1"/>
    </xf>
    <xf numFmtId="0" fontId="18" fillId="8" borderId="16" xfId="0" applyFont="1" applyFill="1" applyBorder="1" applyAlignment="1">
      <alignment horizontal="right"/>
    </xf>
    <xf numFmtId="14" fontId="18" fillId="8" borderId="0" xfId="0" applyNumberFormat="1" applyFont="1" applyFill="1"/>
    <xf numFmtId="0" fontId="18" fillId="8" borderId="0" xfId="0" applyFont="1" applyFill="1"/>
    <xf numFmtId="1" fontId="0" fillId="0" borderId="28" xfId="0" applyNumberFormat="1" applyBorder="1"/>
    <xf numFmtId="0" fontId="19" fillId="8" borderId="21" xfId="0" applyFont="1" applyFill="1" applyBorder="1"/>
    <xf numFmtId="0" fontId="19" fillId="8" borderId="22" xfId="0" applyFont="1" applyFill="1" applyBorder="1"/>
    <xf numFmtId="0" fontId="1" fillId="5" borderId="0" xfId="0" applyFont="1" applyFill="1" applyAlignment="1">
      <alignment vertical="top" wrapText="1"/>
    </xf>
    <xf numFmtId="0" fontId="20" fillId="0" borderId="0" xfId="0" applyFont="1" applyAlignment="1">
      <alignment vertical="center" wrapText="1"/>
    </xf>
    <xf numFmtId="0" fontId="20" fillId="0" borderId="0" xfId="0" applyFont="1" applyAlignment="1">
      <alignment vertical="center"/>
    </xf>
    <xf numFmtId="0" fontId="21" fillId="9" borderId="42" xfId="0" applyFont="1" applyFill="1" applyBorder="1"/>
    <xf numFmtId="0" fontId="21" fillId="9" borderId="0" xfId="0" applyFont="1" applyFill="1"/>
    <xf numFmtId="0" fontId="0" fillId="10" borderId="0" xfId="0" applyFill="1"/>
    <xf numFmtId="14" fontId="0" fillId="2" borderId="7" xfId="0" applyNumberFormat="1" applyFill="1" applyBorder="1" applyAlignment="1">
      <alignment vertical="top" wrapText="1"/>
    </xf>
    <xf numFmtId="0" fontId="9" fillId="7" borderId="0" xfId="0" applyFont="1" applyFill="1"/>
    <xf numFmtId="0" fontId="0" fillId="11" borderId="0" xfId="0" applyFill="1" applyAlignment="1">
      <alignment vertical="center"/>
    </xf>
    <xf numFmtId="0" fontId="0" fillId="13" borderId="0" xfId="0" applyFill="1" applyAlignment="1">
      <alignment vertical="center"/>
    </xf>
    <xf numFmtId="9" fontId="0" fillId="13" borderId="0" xfId="6" applyFont="1" applyFill="1" applyBorder="1" applyAlignment="1">
      <alignment vertical="center"/>
    </xf>
    <xf numFmtId="0" fontId="0" fillId="14" borderId="33" xfId="0" applyFill="1" applyBorder="1"/>
    <xf numFmtId="0" fontId="1" fillId="14" borderId="34" xfId="0" applyFont="1" applyFill="1" applyBorder="1"/>
    <xf numFmtId="1" fontId="1" fillId="14" borderId="34" xfId="0" applyNumberFormat="1" applyFont="1" applyFill="1" applyBorder="1"/>
    <xf numFmtId="9" fontId="1" fillId="14" borderId="34" xfId="6" applyFont="1" applyFill="1" applyBorder="1"/>
    <xf numFmtId="0" fontId="1" fillId="14" borderId="33" xfId="0" applyFont="1" applyFill="1" applyBorder="1"/>
    <xf numFmtId="9" fontId="0" fillId="0" borderId="0" xfId="6" applyFont="1"/>
    <xf numFmtId="0" fontId="0" fillId="15" borderId="0" xfId="0" applyFill="1"/>
    <xf numFmtId="0" fontId="12" fillId="15" borderId="0" xfId="0" applyFont="1" applyFill="1" applyAlignment="1">
      <alignment horizontal="center" vertical="center"/>
    </xf>
    <xf numFmtId="0" fontId="11" fillId="15" borderId="0" xfId="0" applyFont="1" applyFill="1" applyAlignment="1">
      <alignment horizontal="center" vertical="center"/>
    </xf>
    <xf numFmtId="0" fontId="12" fillId="15" borderId="0" xfId="0" applyFont="1" applyFill="1" applyAlignment="1">
      <alignment horizontal="center" vertical="top"/>
    </xf>
    <xf numFmtId="0" fontId="22" fillId="15" borderId="0" xfId="0" applyFont="1" applyFill="1"/>
    <xf numFmtId="0" fontId="22" fillId="15" borderId="0" xfId="0" applyFont="1" applyFill="1" applyAlignment="1">
      <alignment horizontal="center"/>
    </xf>
    <xf numFmtId="0" fontId="23" fillId="3" borderId="0" xfId="0" applyFont="1" applyFill="1" applyAlignment="1">
      <alignment horizontal="center" vertical="top" wrapText="1"/>
    </xf>
    <xf numFmtId="14" fontId="23" fillId="4" borderId="22" xfId="0" applyNumberFormat="1" applyFont="1" applyFill="1" applyBorder="1" applyAlignment="1">
      <alignment horizontal="center" vertical="top" wrapText="1"/>
    </xf>
    <xf numFmtId="14" fontId="23" fillId="3" borderId="22" xfId="0" applyNumberFormat="1" applyFont="1" applyFill="1" applyBorder="1" applyAlignment="1">
      <alignment horizontal="center" vertical="top" wrapText="1"/>
    </xf>
    <xf numFmtId="14" fontId="23" fillId="3" borderId="23" xfId="0" applyNumberFormat="1" applyFont="1" applyFill="1" applyBorder="1" applyAlignment="1">
      <alignment horizontal="center" vertical="top" wrapText="1"/>
    </xf>
    <xf numFmtId="0" fontId="23" fillId="11" borderId="43" xfId="0" applyFont="1" applyFill="1" applyBorder="1"/>
    <xf numFmtId="0" fontId="23" fillId="12" borderId="43" xfId="0" applyFont="1" applyFill="1" applyBorder="1"/>
    <xf numFmtId="0" fontId="23" fillId="14" borderId="44" xfId="0" applyFont="1" applyFill="1" applyBorder="1" applyAlignment="1">
      <alignment horizontal="left"/>
    </xf>
    <xf numFmtId="0" fontId="0" fillId="16" borderId="0" xfId="0" applyFill="1"/>
    <xf numFmtId="0" fontId="0" fillId="11" borderId="45" xfId="0" applyFill="1" applyBorder="1" applyAlignment="1">
      <alignment vertical="center"/>
    </xf>
    <xf numFmtId="0" fontId="0" fillId="11" borderId="30" xfId="0" applyFill="1" applyBorder="1" applyAlignment="1">
      <alignment vertical="center"/>
    </xf>
    <xf numFmtId="9" fontId="0" fillId="11" borderId="30" xfId="6" applyFont="1" applyFill="1" applyBorder="1" applyAlignment="1">
      <alignment vertical="center"/>
    </xf>
    <xf numFmtId="0" fontId="0" fillId="11" borderId="46" xfId="0" applyFill="1" applyBorder="1" applyAlignment="1">
      <alignment vertical="center"/>
    </xf>
    <xf numFmtId="0" fontId="0" fillId="13" borderId="47" xfId="0" applyFill="1" applyBorder="1" applyAlignment="1">
      <alignment vertical="center"/>
    </xf>
    <xf numFmtId="0" fontId="0" fillId="13" borderId="43" xfId="0" applyFill="1" applyBorder="1" applyAlignment="1">
      <alignment vertical="center"/>
    </xf>
    <xf numFmtId="0" fontId="22" fillId="11" borderId="0" xfId="0" applyFont="1" applyFill="1"/>
    <xf numFmtId="0" fontId="23" fillId="13" borderId="0" xfId="0" applyFont="1" applyFill="1"/>
    <xf numFmtId="0" fontId="22" fillId="12" borderId="48" xfId="0" applyFont="1" applyFill="1" applyBorder="1"/>
    <xf numFmtId="0" fontId="22" fillId="13" borderId="51" xfId="0" applyFont="1" applyFill="1" applyBorder="1"/>
    <xf numFmtId="0" fontId="1" fillId="13" borderId="48" xfId="0" applyFont="1" applyFill="1" applyBorder="1" applyAlignment="1">
      <alignment vertical="center"/>
    </xf>
    <xf numFmtId="0" fontId="1" fillId="13" borderId="49" xfId="0" applyFont="1" applyFill="1" applyBorder="1" applyAlignment="1">
      <alignment vertical="center"/>
    </xf>
    <xf numFmtId="9" fontId="1" fillId="13" borderId="49" xfId="6" applyFont="1" applyFill="1" applyBorder="1" applyAlignment="1">
      <alignment vertical="center"/>
    </xf>
    <xf numFmtId="0" fontId="1" fillId="13" borderId="50" xfId="0" applyFont="1" applyFill="1" applyBorder="1" applyAlignment="1">
      <alignment vertical="center"/>
    </xf>
    <xf numFmtId="0" fontId="13" fillId="10" borderId="13" xfId="0" applyFont="1" applyFill="1" applyBorder="1" applyAlignment="1">
      <alignment vertical="center"/>
    </xf>
    <xf numFmtId="0" fontId="0" fillId="10" borderId="14" xfId="0" applyFill="1" applyBorder="1"/>
    <xf numFmtId="0" fontId="2" fillId="10" borderId="14" xfId="0" applyFont="1" applyFill="1" applyBorder="1" applyAlignment="1">
      <alignment vertical="center"/>
    </xf>
    <xf numFmtId="0" fontId="0" fillId="11" borderId="15" xfId="0" applyFill="1" applyBorder="1" applyAlignment="1">
      <alignment vertical="center"/>
    </xf>
    <xf numFmtId="0" fontId="0" fillId="13" borderId="17" xfId="0" applyFill="1" applyBorder="1" applyAlignment="1">
      <alignment vertical="center"/>
    </xf>
    <xf numFmtId="0" fontId="1" fillId="13" borderId="52" xfId="0" applyFont="1" applyFill="1" applyBorder="1" applyAlignment="1">
      <alignment vertical="center"/>
    </xf>
    <xf numFmtId="0" fontId="23" fillId="14" borderId="53" xfId="0" applyFont="1" applyFill="1" applyBorder="1"/>
    <xf numFmtId="0" fontId="0" fillId="14" borderId="54" xfId="0" applyFill="1" applyBorder="1" applyAlignment="1">
      <alignment horizontal="center" vertical="center"/>
    </xf>
    <xf numFmtId="0" fontId="0" fillId="14" borderId="55" xfId="0" applyFill="1" applyBorder="1"/>
    <xf numFmtId="1" fontId="9" fillId="14" borderId="55" xfId="6" applyNumberFormat="1" applyFont="1" applyFill="1" applyBorder="1"/>
    <xf numFmtId="9" fontId="9" fillId="14" borderId="55" xfId="6" applyFont="1" applyFill="1" applyBorder="1"/>
    <xf numFmtId="1" fontId="0" fillId="14" borderId="54" xfId="0" applyNumberFormat="1" applyFill="1" applyBorder="1"/>
    <xf numFmtId="0" fontId="23" fillId="3" borderId="34" xfId="0" applyFont="1" applyFill="1" applyBorder="1" applyAlignment="1">
      <alignment horizontal="center" vertical="top" wrapText="1"/>
    </xf>
    <xf numFmtId="14" fontId="22" fillId="15" borderId="56" xfId="0" applyNumberFormat="1" applyFont="1" applyFill="1" applyBorder="1"/>
    <xf numFmtId="0" fontId="24" fillId="10" borderId="0" xfId="0" applyFont="1" applyFill="1" applyAlignment="1">
      <alignment horizontal="right"/>
    </xf>
    <xf numFmtId="0" fontId="24" fillId="10" borderId="0" xfId="0" applyFont="1" applyFill="1"/>
    <xf numFmtId="0" fontId="21" fillId="10" borderId="0" xfId="0" applyFont="1" applyFill="1"/>
    <xf numFmtId="0" fontId="0" fillId="17" borderId="0" xfId="0" applyFill="1"/>
    <xf numFmtId="0" fontId="0" fillId="0" borderId="57" xfId="0" applyBorder="1"/>
    <xf numFmtId="0" fontId="0" fillId="0" borderId="60" xfId="0" applyBorder="1"/>
    <xf numFmtId="0" fontId="0" fillId="0" borderId="62" xfId="0" applyBorder="1"/>
    <xf numFmtId="0" fontId="25" fillId="0" borderId="65" xfId="0" applyFont="1" applyBorder="1" applyAlignment="1">
      <alignment wrapText="1"/>
    </xf>
    <xf numFmtId="3" fontId="25" fillId="0" borderId="65" xfId="0" applyNumberFormat="1" applyFont="1" applyBorder="1" applyAlignment="1">
      <alignment wrapText="1"/>
    </xf>
    <xf numFmtId="1" fontId="1" fillId="0" borderId="33" xfId="0" applyNumberFormat="1" applyFont="1" applyBorder="1"/>
    <xf numFmtId="0" fontId="24" fillId="0" borderId="0" xfId="0" applyFont="1"/>
    <xf numFmtId="0" fontId="1" fillId="0" borderId="66" xfId="0" applyFont="1" applyBorder="1"/>
    <xf numFmtId="0" fontId="5" fillId="17" borderId="1" xfId="0" applyFont="1" applyFill="1" applyBorder="1"/>
    <xf numFmtId="0" fontId="8" fillId="17" borderId="5" xfId="0" applyFont="1" applyFill="1" applyBorder="1"/>
    <xf numFmtId="0" fontId="8" fillId="17" borderId="7" xfId="0" applyFont="1" applyFill="1" applyBorder="1" applyAlignment="1">
      <alignment vertical="top" wrapText="1"/>
    </xf>
    <xf numFmtId="1" fontId="0" fillId="0" borderId="0" xfId="0" applyNumberFormat="1" applyAlignment="1">
      <alignment horizontal="right"/>
    </xf>
    <xf numFmtId="1" fontId="0" fillId="17" borderId="0" xfId="0" applyNumberFormat="1" applyFill="1" applyAlignment="1">
      <alignment horizontal="right"/>
    </xf>
    <xf numFmtId="0" fontId="18" fillId="18" borderId="67" xfId="0" applyFont="1" applyFill="1" applyBorder="1"/>
    <xf numFmtId="0" fontId="0" fillId="19" borderId="67" xfId="0" applyFill="1" applyBorder="1"/>
    <xf numFmtId="0" fontId="0" fillId="0" borderId="67" xfId="0" applyBorder="1"/>
    <xf numFmtId="0" fontId="0" fillId="0" borderId="58" xfId="0" applyBorder="1"/>
    <xf numFmtId="0" fontId="0" fillId="0" borderId="59" xfId="0" applyBorder="1"/>
    <xf numFmtId="0" fontId="0" fillId="0" borderId="61" xfId="0" applyBorder="1"/>
    <xf numFmtId="0" fontId="0" fillId="0" borderId="63" xfId="0" applyBorder="1"/>
    <xf numFmtId="0" fontId="0" fillId="0" borderId="64" xfId="0" applyBorder="1"/>
  </cellXfs>
  <cellStyles count="7">
    <cellStyle name="Normal" xfId="0" builtinId="0"/>
    <cellStyle name="Normal 2" xfId="1" xr:uid="{00000000-0005-0000-0000-000001000000}"/>
    <cellStyle name="Normal 3" xfId="2" xr:uid="{00000000-0005-0000-0000-000002000000}"/>
    <cellStyle name="Normal 4" xfId="5" xr:uid="{00000000-0005-0000-0000-000003000000}"/>
    <cellStyle name="Per cent" xfId="6" builtinId="5"/>
    <cellStyle name="Percent 2" xfId="3" xr:uid="{00000000-0005-0000-0000-000005000000}"/>
    <cellStyle name="Percent 3" xfId="4" xr:uid="{00000000-0005-0000-0000-000006000000}"/>
  </cellStyles>
  <dxfs count="66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font>
        <color rgb="FFFF0000"/>
      </font>
    </dxf>
    <dxf>
      <numFmt numFmtId="19" formatCode="dd/mm/yyyy"/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Medium9"/>
  <colors>
    <mruColors>
      <color rgb="FFEAEAEA"/>
      <color rgb="FFF5F5F5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onnections" Target="connections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20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47624</xdr:colOff>
      <xdr:row>9</xdr:row>
      <xdr:rowOff>57150</xdr:rowOff>
    </xdr:from>
    <xdr:to>
      <xdr:col>5</xdr:col>
      <xdr:colOff>1095374</xdr:colOff>
      <xdr:row>10</xdr:row>
      <xdr:rowOff>123825</xdr:rowOff>
    </xdr:to>
    <xdr:sp macro="" textlink="">
      <xdr:nvSpPr>
        <xdr:cNvPr id="4" name="Right Brac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 rot="5400000">
          <a:off x="7724774" y="533400"/>
          <a:ext cx="257175" cy="4333875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6</xdr:col>
      <xdr:colOff>514349</xdr:colOff>
      <xdr:row>7</xdr:row>
      <xdr:rowOff>66675</xdr:rowOff>
    </xdr:from>
    <xdr:to>
      <xdr:col>13</xdr:col>
      <xdr:colOff>1019174</xdr:colOff>
      <xdr:row>8</xdr:row>
      <xdr:rowOff>133350</xdr:rowOff>
    </xdr:to>
    <xdr:sp macro="" textlink="">
      <xdr:nvSpPr>
        <xdr:cNvPr id="5" name="Right Brac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 rot="5400000">
          <a:off x="14492286" y="-1766887"/>
          <a:ext cx="257175" cy="817245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removeDataOnSave="1" connectionId="1" xr16:uid="{00000000-0016-0000-0800-000000000000}" autoFormatId="0" applyNumberFormats="0" applyBorderFormats="0" applyFontFormats="1" applyPatternFormats="1" applyAlignmentFormats="0" applyWidthHeightFormats="0">
  <queryTableRefresh preserveSortFilterLayout="0" nextId="18">
    <queryTableFields count="17">
      <queryTableField id="1" name="Rel_D" tableColumnId="1"/>
      <queryTableField id="2" name="OrgID" tableColumnId="2"/>
      <queryTableField id="3" name="{SDLR01a} Excluding ineligible for NHS Health Check (SDLR)" tableColumnId="3"/>
      <queryTableField id="4" name="{SDLR01} NHS Health Checks offered 2021-2022" tableColumnId="4"/>
      <queryTableField id="5" name="{SDLR02} NHS Health Checks done 2021-2022" tableColumnId="5"/>
      <queryTableField id="6" name="{SDLR03} Current Aged 40-74yrs" tableColumnId="6"/>
      <queryTableField id="7" name="{SDLR01-Q1} NHS Health Checks offered" tableColumnId="7"/>
      <queryTableField id="8" name="{SDLR01-Q2} NHS Health Checks offered" tableColumnId="8"/>
      <queryTableField id="9" name="{SDLR01-Q3} NHS Health Checks offered" tableColumnId="9"/>
      <queryTableField id="10" name="{SDLR01-Q4} NHS Health Checks offered" tableColumnId="10"/>
      <queryTableField id="11" name="{SDLR02a} Excluding ineligible for NHS Health Check (SDLR)" tableColumnId="11"/>
      <queryTableField id="12" name="{SDLR02-Q1} NHS Health Checks done" tableColumnId="12"/>
      <queryTableField id="13" name="{SDLR02-Q2} NHS Health Checks done" tableColumnId="13"/>
      <queryTableField id="14" name="{SDLR02-Q3} NHS Health Checks done" tableColumnId="14"/>
      <queryTableField id="15" name="{SDLR02-Q4} NHS Health Checks done" tableColumnId="15"/>
      <queryTableField id="16" name="{SDLR03a} Excl DM, IHD, Stroke/TIA, HyperT, PAD, FH, CKD, AF, HF,Statins" tableColumnId="16"/>
      <queryTableField id="17" name="{SDLR03TEP} current eligible TEP" tableColumnId="17"/>
    </queryTableFields>
  </queryTableRefresh>
</queryTable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1" xr16:uid="{00000000-0016-0000-0900-000001000000}" autoFormatId="0" applyNumberFormats="0" applyBorderFormats="0" applyFontFormats="1" applyPatternFormats="1" applyAlignmentFormats="0" applyWidthHeightFormats="0">
  <queryTableRefresh preserveSortFilterLayout="0" nextId="18" unboundColumnsRight="15">
    <queryTableFields count="17">
      <queryTableField id="1" name="Rel_D" tableColumnId="39"/>
      <queryTableField id="2" name="Practice" tableColumnId="40"/>
      <queryTableField id="3" dataBound="0" tableColumnId="41"/>
      <queryTableField id="4" dataBound="0" tableColumnId="42"/>
      <queryTableField id="5" dataBound="0" tableColumnId="43"/>
      <queryTableField id="6" dataBound="0" tableColumnId="44"/>
      <queryTableField id="7" dataBound="0" tableColumnId="45"/>
      <queryTableField id="8" dataBound="0" tableColumnId="46"/>
      <queryTableField id="9" dataBound="0" tableColumnId="47"/>
      <queryTableField id="10" dataBound="0" tableColumnId="48"/>
      <queryTableField id="11" dataBound="0" tableColumnId="49"/>
      <queryTableField id="12" dataBound="0" tableColumnId="50"/>
      <queryTableField id="13" dataBound="0" tableColumnId="51"/>
      <queryTableField id="14" dataBound="0" tableColumnId="52"/>
      <queryTableField id="15" dataBound="0" tableColumnId="53"/>
      <queryTableField id="16" dataBound="0" tableColumnId="54"/>
      <queryTableField id="17" dataBound="0" tableColumnId="55"/>
    </queryTableFields>
    <queryTableDeletedFields count="15">
      <deletedField name="OrgID"/>
      <deletedField name="00-00 Listsize"/>
      <deletedField name="1.0 {SDLR01} NHS Health Checks offered 2021-2022"/>
      <deletedField name="1.1 {SDLR01a} Excluding ineligible NHS Health Check (SDLR)"/>
      <deletedField name="1.2 {SDLR01-Q1} NHS Health Checks offered"/>
      <deletedField name="1.3 {SDLR01-Q2} NHS Health Checks offered"/>
      <deletedField name="1.4 {SDLR01-Q3} NHS Health Checks offered"/>
      <deletedField name="2.0 {SDLR02 NHS Health Checks done 2021-2022"/>
      <deletedField name="2.1 {SDLR02a} Excluding ineligible NHS Health Check (SDLR)"/>
      <deletedField name="2.2 {SDLR02-Q1} NHS Health Checks done"/>
      <deletedField name="2.3 {SDLR02-Q2} NHS Health Checks done"/>
      <deletedField name="2.4 {SDLR02-Q3} NHS Health Checks done"/>
      <deletedField name="3.0 {SDLR03} Patients Aged 40-74"/>
      <deletedField name="3.1 {SDLR03a} Excl DM, IHD, Stroke TIA, HyperT, PAD, FH, CKD, AF, HF, Statins"/>
      <deletedField name="3.2 {SDLR03TEP} Current eligible TEP"/>
    </queryTableDeleted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election" displayName="Selection" ref="E1:F5" totalsRowShown="0">
  <autoFilter ref="E1:F5" xr:uid="{00000000-0009-0000-0100-000001000000}"/>
  <tableColumns count="2">
    <tableColumn id="1" xr3:uid="{00000000-0010-0000-0000-000001000000}" name="Quarter"/>
    <tableColumn id="2" xr3:uid="{00000000-0010-0000-0000-000002000000}" name="REL_D" dataDxfId="4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Fednet_data" displayName="Fednet_data" ref="A1:Q6" tableType="queryTable" totalsRowShown="0">
  <autoFilter ref="A1:Q6" xr:uid="{00000000-0009-0000-0100-000002000000}"/>
  <tableColumns count="17">
    <tableColumn id="1" xr3:uid="{00000000-0010-0000-0100-000001000000}" uniqueName="1" name="Rel_D" queryTableFieldId="1" dataDxfId="38"/>
    <tableColumn id="2" xr3:uid="{00000000-0010-0000-0100-000002000000}" uniqueName="2" name="OrgID" queryTableFieldId="2" dataDxfId="37"/>
    <tableColumn id="3" xr3:uid="{00000000-0010-0000-0100-000003000000}" uniqueName="3" name="{SDLR01a} Excluding ineligible for NHS Health Check (SDLR)" queryTableFieldId="3" dataDxfId="36"/>
    <tableColumn id="4" xr3:uid="{00000000-0010-0000-0100-000004000000}" uniqueName="4" name="{SDLR01} NHS Health Checks offered 2021-2022" queryTableFieldId="4" dataDxfId="35"/>
    <tableColumn id="5" xr3:uid="{00000000-0010-0000-0100-000005000000}" uniqueName="5" name="{SDLR02} NHS Health Checks done 2021-2022" queryTableFieldId="5" dataDxfId="34"/>
    <tableColumn id="6" xr3:uid="{00000000-0010-0000-0100-000006000000}" uniqueName="6" name="{SDLR03} Current Aged 40-74yrs" queryTableFieldId="6" dataDxfId="33"/>
    <tableColumn id="7" xr3:uid="{00000000-0010-0000-0100-000007000000}" uniqueName="7" name="{SDLR01-Q1} NHS Health Checks offered" queryTableFieldId="7" dataDxfId="32"/>
    <tableColumn id="8" xr3:uid="{00000000-0010-0000-0100-000008000000}" uniqueName="8" name="{SDLR01-Q2} NHS Health Checks offered" queryTableFieldId="8" dataDxfId="31"/>
    <tableColumn id="9" xr3:uid="{00000000-0010-0000-0100-000009000000}" uniqueName="9" name="{SDLR01-Q3} NHS Health Checks offered" queryTableFieldId="9" dataDxfId="30"/>
    <tableColumn id="10" xr3:uid="{00000000-0010-0000-0100-00000A000000}" uniqueName="10" name="{SDLR01-Q4} NHS Health Checks offered" queryTableFieldId="10" dataDxfId="29"/>
    <tableColumn id="11" xr3:uid="{00000000-0010-0000-0100-00000B000000}" uniqueName="11" name="{SDLR02a} Excluding ineligible for NHS Health Check (SDLR)" queryTableFieldId="11" dataDxfId="28"/>
    <tableColumn id="12" xr3:uid="{00000000-0010-0000-0100-00000C000000}" uniqueName="12" name="{SDLR02-Q1} NHS Health Checks done" queryTableFieldId="12" dataDxfId="27"/>
    <tableColumn id="13" xr3:uid="{00000000-0010-0000-0100-00000D000000}" uniqueName="13" name="{SDLR02-Q2} NHS Health Checks done" queryTableFieldId="13" dataDxfId="26"/>
    <tableColumn id="14" xr3:uid="{00000000-0010-0000-0100-00000E000000}" uniqueName="14" name="{SDLR02-Q3} NHS Health Checks done" queryTableFieldId="14" dataDxfId="25"/>
    <tableColumn id="15" xr3:uid="{00000000-0010-0000-0100-00000F000000}" uniqueName="15" name="{SDLR02-Q4} NHS Health Checks done" queryTableFieldId="15" dataDxfId="24"/>
    <tableColumn id="16" xr3:uid="{00000000-0010-0000-0100-000010000000}" uniqueName="16" name="{SDLR03a} Excl DM, IHD, Stroke/TIA, HyperT, PAD, FH, CKD, AF, HF,Statins" queryTableFieldId="16" dataDxfId="23"/>
    <tableColumn id="17" xr3:uid="{00000000-0010-0000-0100-000011000000}" uniqueName="17" name="{SDLR03TEP} current eligible TEP" queryTableFieldId="17" dataDxfId="22"/>
  </tableColumns>
  <tableStyleInfo name="TableStyleMedium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WF_LD" displayName="WF_LD" ref="I13:Y18" tableType="queryTable" totalsRowShown="0">
  <autoFilter ref="I13:Y18" xr:uid="{00000000-0009-0000-0100-000003000000}"/>
  <sortState xmlns:xlrd2="http://schemas.microsoft.com/office/spreadsheetml/2017/richdata2" ref="I14:AN18">
    <sortCondition ref="I11:I16"/>
  </sortState>
  <tableColumns count="17">
    <tableColumn id="39" xr3:uid="{00000000-0010-0000-0200-000027000000}" uniqueName="39" name="Rel_D" queryTableFieldId="1" dataDxfId="15"/>
    <tableColumn id="40" xr3:uid="{00000000-0010-0000-0200-000028000000}" uniqueName="40" name="Practice" queryTableFieldId="2" dataDxfId="14"/>
    <tableColumn id="41" xr3:uid="{00000000-0010-0000-0200-000029000000}" uniqueName="41" name="OrgID" queryTableFieldId="3"/>
    <tableColumn id="42" xr3:uid="{00000000-0010-0000-0200-00002A000000}" uniqueName="42" name="00-00 Listsize" queryTableFieldId="4" dataDxfId="13"/>
    <tableColumn id="43" xr3:uid="{00000000-0010-0000-0200-00002B000000}" uniqueName="43" name="1.0 {SDLR01} NHS Health Checks offered 2021-2022" queryTableFieldId="5" dataDxfId="12"/>
    <tableColumn id="44" xr3:uid="{00000000-0010-0000-0200-00002C000000}" uniqueName="44" name="1.1 {SDLR01a} Excluding ineligible NHS Health Check (SDLR)" queryTableFieldId="6" dataDxfId="11"/>
    <tableColumn id="45" xr3:uid="{00000000-0010-0000-0200-00002D000000}" uniqueName="45" name="1.2 {SDLR01-Q1} NHS Health Checks offered" queryTableFieldId="7" dataDxfId="10"/>
    <tableColumn id="46" xr3:uid="{00000000-0010-0000-0200-00002E000000}" uniqueName="46" name="1.3 {SDLR01-Q2} NHS Health Checks offered" queryTableFieldId="8" dataDxfId="9"/>
    <tableColumn id="47" xr3:uid="{00000000-0010-0000-0200-00002F000000}" uniqueName="47" name="1.4 {SDLR01-Q3} NHS Health Checks offered" queryTableFieldId="9" dataDxfId="8"/>
    <tableColumn id="48" xr3:uid="{00000000-0010-0000-0200-000030000000}" uniqueName="48" name="2.0 {SDLR02 NHS Health Checks done 2021-2022" queryTableFieldId="10" dataDxfId="7"/>
    <tableColumn id="49" xr3:uid="{00000000-0010-0000-0200-000031000000}" uniqueName="49" name="2.1 {SDLR02a} Excluding ineligible NHS Health Check (SDLR)" queryTableFieldId="11" dataDxfId="6"/>
    <tableColumn id="50" xr3:uid="{00000000-0010-0000-0200-000032000000}" uniqueName="50" name="2.2 {SDLR02-Q1} NHS Health Checks done" queryTableFieldId="12" dataDxfId="5"/>
    <tableColumn id="51" xr3:uid="{00000000-0010-0000-0200-000033000000}" uniqueName="51" name="2.3 {SDLR02-Q2} NHS Health Checks done" queryTableFieldId="13" dataDxfId="4"/>
    <tableColumn id="52" xr3:uid="{00000000-0010-0000-0200-000034000000}" uniqueName="52" name="2.4 {SDLR02-Q3} NHS Health Checks done" queryTableFieldId="14" dataDxfId="3"/>
    <tableColumn id="53" xr3:uid="{00000000-0010-0000-0200-000035000000}" uniqueName="53" name="3.0 {SDLR03} Patients Aged 40-74" queryTableFieldId="15" dataDxfId="2"/>
    <tableColumn id="54" xr3:uid="{00000000-0010-0000-0200-000036000000}" uniqueName="54" name="3.1 {SDLR03a} Excl DM, IHD, Stroke TIA, HyperT, PAD, FH, CKD, AF, HF, Statins" queryTableFieldId="16" dataDxfId="1"/>
    <tableColumn id="55" xr3:uid="{00000000-0010-0000-0200-000037000000}" uniqueName="55" name="3.2 {SDLR03TEP} Current eligible TEP" queryTableFieldId="17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0.39997558519241921"/>
  </sheetPr>
  <dimension ref="A1:N15"/>
  <sheetViews>
    <sheetView showGridLines="0" tabSelected="1" workbookViewId="0">
      <selection activeCell="C7" sqref="C7"/>
    </sheetView>
  </sheetViews>
  <sheetFormatPr defaultRowHeight="15" zeroHeight="1"/>
  <cols>
    <col min="1" max="1" width="36.7109375" customWidth="1"/>
    <col min="2" max="2" width="47.85546875" customWidth="1"/>
    <col min="3" max="14" width="16.42578125" customWidth="1"/>
  </cols>
  <sheetData>
    <row r="1" spans="1:14" ht="29.25" thickTop="1">
      <c r="A1" s="161" t="str">
        <f>"Waltham Forest: NHS Health Check - Public Health Outcome Framework (2021-2022 "&amp;A3&amp;")"</f>
        <v>Waltham Forest: NHS Health Check - Public Health Outcome Framework (2021-2022 Quarter 4)</v>
      </c>
      <c r="B1" s="162"/>
      <c r="C1" s="163"/>
      <c r="D1" s="163"/>
      <c r="E1" s="163"/>
      <c r="F1" s="163"/>
      <c r="G1" s="162"/>
      <c r="H1" s="133"/>
      <c r="I1" s="133"/>
      <c r="J1" s="133"/>
      <c r="K1" s="133"/>
      <c r="L1" s="133"/>
      <c r="M1" s="133"/>
      <c r="N1" s="133"/>
    </row>
    <row r="2" spans="1:14" ht="18.75" customHeight="1" thickBot="1">
      <c r="A2" s="133"/>
      <c r="B2" s="138" t="s">
        <v>0</v>
      </c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</row>
    <row r="3" spans="1:14" ht="15.75" thickBot="1">
      <c r="A3" s="137" t="str">
        <f>INDEX(Selection[Quarter],MATCH(Summary!$B$3,Selection[REL_D],0))</f>
        <v>Quarter 4</v>
      </c>
      <c r="B3" s="174">
        <v>44652</v>
      </c>
      <c r="C3" s="134" t="s">
        <v>1</v>
      </c>
      <c r="D3" s="134" t="s">
        <v>2</v>
      </c>
      <c r="E3" s="135"/>
      <c r="F3" s="136" t="s">
        <v>2</v>
      </c>
      <c r="G3" s="136" t="s">
        <v>3</v>
      </c>
      <c r="H3" s="136" t="s">
        <v>4</v>
      </c>
      <c r="I3" s="136" t="s">
        <v>5</v>
      </c>
      <c r="J3" s="136" t="s">
        <v>6</v>
      </c>
      <c r="K3" s="136" t="s">
        <v>7</v>
      </c>
      <c r="L3" s="136" t="s">
        <v>8</v>
      </c>
      <c r="M3" s="136" t="s">
        <v>9</v>
      </c>
      <c r="N3" s="136" t="s">
        <v>10</v>
      </c>
    </row>
    <row r="4" spans="1:14" ht="45.75" customHeight="1" thickBot="1">
      <c r="A4" s="146"/>
      <c r="B4" s="146"/>
      <c r="C4" s="139" t="s">
        <v>11</v>
      </c>
      <c r="D4" s="139" t="s">
        <v>12</v>
      </c>
      <c r="E4" s="139" t="s">
        <v>13</v>
      </c>
      <c r="F4" s="173" t="str">
        <f>"Total Eligible Pop (TEP) @"&amp;TEXT(B3,"dd/mm/yyyy")</f>
        <v>Total Eligible Pop (TEP) @01/04/2022</v>
      </c>
      <c r="G4" s="140" t="str">
        <f>"NHS Health Checks Offered "&amp;RIGHT(G2,2)</f>
        <v xml:space="preserve">NHS Health Checks Offered </v>
      </c>
      <c r="H4" s="141" t="str">
        <f>"NHS Health Checks Done "&amp;RIGHT(H2,2)</f>
        <v xml:space="preserve">NHS Health Checks Done </v>
      </c>
      <c r="I4" s="140" t="str">
        <f>"NHS Health Checks Offered "&amp;RIGHT(I2,2)</f>
        <v xml:space="preserve">NHS Health Checks Offered </v>
      </c>
      <c r="J4" s="141" t="str">
        <f>"NHS Health Checks Done "&amp;RIGHT(J2,2)</f>
        <v xml:space="preserve">NHS Health Checks Done </v>
      </c>
      <c r="K4" s="140" t="str">
        <f>"NHS Health Checks Offered "&amp;RIGHT(K2,2)</f>
        <v xml:space="preserve">NHS Health Checks Offered </v>
      </c>
      <c r="L4" s="141" t="str">
        <f>"NHS Health Checks Done "&amp;RIGHT(L2,2)</f>
        <v xml:space="preserve">NHS Health Checks Done </v>
      </c>
      <c r="M4" s="140" t="str">
        <f>"NHS Health Checks Offered "&amp;RIGHT(M2,2)</f>
        <v xml:space="preserve">NHS Health Checks Offered </v>
      </c>
      <c r="N4" s="142" t="str">
        <f>"NHS Health Checks Done "&amp;RIGHT(N2,2)</f>
        <v xml:space="preserve">NHS Health Checks Done </v>
      </c>
    </row>
    <row r="5" spans="1:14" ht="21" customHeight="1" thickTop="1">
      <c r="A5" s="143" t="s">
        <v>14</v>
      </c>
      <c r="B5" s="153" t="s">
        <v>15</v>
      </c>
      <c r="C5" s="147">
        <f ca="1">SUMIFS(OFFSET(REL_D,,MATCH(C$3,IND,0)-1),REL_D,$B$3,OrgID,Sheet2!$G2)</f>
        <v>3599</v>
      </c>
      <c r="D5" s="148">
        <f ca="1">C5-SUMIFS(OFFSET(REL_D,,MATCH(D$3,IND,0)-1),REL_D,$B$3,OrgID,Sheet2!$G2)</f>
        <v>1390</v>
      </c>
      <c r="E5" s="149">
        <f ca="1">IFERROR(D5/C5,"-")</f>
        <v>0.38621839399833285</v>
      </c>
      <c r="F5" s="150">
        <f ca="1">SUMIFS(OFFSET(REL_D,,MATCH(F$3,IND,0)-1),REL_D,$B$3,OrgID,Sheet2!$G2)</f>
        <v>2209</v>
      </c>
      <c r="G5" s="124">
        <f ca="1">SUMIFS(OFFSET(REL_D,,MATCH(G$3,IND,0)-1),REL_D,$B$3,OrgID,Sheet2!$G2)</f>
        <v>26</v>
      </c>
      <c r="H5" s="124">
        <f ca="1">SUMIFS(OFFSET(REL_D,,MATCH(H$3,IND,0)-1),REL_D,$B$3,OrgID,Sheet2!$G2)</f>
        <v>25</v>
      </c>
      <c r="I5" s="124">
        <f ca="1">SUMIFS(OFFSET(REL_D,,MATCH(I$3,IND,0)-1),REL_D,$B$3,OrgID,Sheet2!$G2)</f>
        <v>982</v>
      </c>
      <c r="J5" s="124">
        <f ca="1">SUMIFS(OFFSET(REL_D,,MATCH(J$3,IND,0)-1),REL_D,$B$3,OrgID,Sheet2!$G2)</f>
        <v>171</v>
      </c>
      <c r="K5" s="124">
        <f ca="1">SUMIFS(OFFSET(REL_D,,MATCH(K$3,IND,0)-1),REL_D,$B$3,OrgID,Sheet2!$G2)</f>
        <v>317</v>
      </c>
      <c r="L5" s="124">
        <f ca="1">SUMIFS(OFFSET(REL_D,,MATCH(L$3,IND,0)-1),REL_D,$B$3,OrgID,Sheet2!$G2)</f>
        <v>245</v>
      </c>
      <c r="M5" s="124">
        <f ca="1">SUMIFS(OFFSET(REL_D,,MATCH(M$3,IND,0)-1),REL_D,$B$3,OrgID,Sheet2!$G2)</f>
        <v>327</v>
      </c>
      <c r="N5" s="164">
        <f ca="1">SUMIFS(OFFSET(REL_D,,MATCH(N$3,IND,0)-1),REL_D,$B$3,OrgID,Sheet2!$G2)</f>
        <v>324</v>
      </c>
    </row>
    <row r="6" spans="1:14" ht="20.25" customHeight="1" thickBot="1">
      <c r="A6" s="154" t="s">
        <v>16</v>
      </c>
      <c r="B6" s="156" t="str">
        <f>VLOOKUP(Sheet2!$H$2,Sheet2!$G$12:$H$18,2,0)</f>
        <v>Chingford E4</v>
      </c>
      <c r="C6" s="151">
        <f ca="1">SUMIFS(OFFSET(REL_D,,MATCH(C$3,IND,0)-1),REL_D,$B$3,NwID,Sheet2!$H2)</f>
        <v>15425</v>
      </c>
      <c r="D6" s="125">
        <f ca="1">SUMIFS(OFFSET(REL_D,,MATCH(D$3,IND,0)-1),REL_D,$B$3,NwID,Sheet2!$H2)</f>
        <v>10122</v>
      </c>
      <c r="E6" s="126">
        <f ca="1">IFERROR(D6/C6,"-")</f>
        <v>0.65620745542949754</v>
      </c>
      <c r="F6" s="152">
        <f ca="1">SUMIFS(OFFSET(REL_D,,MATCH(F$3,IND,0)-1),REL_D,$B$3,NwID,Sheet2!$H2)</f>
        <v>10122</v>
      </c>
      <c r="G6" s="125">
        <f ca="1">SUMIFS(OFFSET(REL_D,,MATCH(G$3,IND,0)-1),REL_D,$B$3,NwID,Sheet2!$H2)</f>
        <v>304</v>
      </c>
      <c r="H6" s="125">
        <f ca="1">SUMIFS(OFFSET(REL_D,,MATCH(H$3,IND,0)-1),REL_D,$B$3,NwID,Sheet2!$H2)</f>
        <v>77</v>
      </c>
      <c r="I6" s="125">
        <f ca="1">SUMIFS(OFFSET(REL_D,,MATCH(I$3,IND,0)-1),REL_D,$B$3,NwID,Sheet2!$H2)</f>
        <v>1358</v>
      </c>
      <c r="J6" s="125">
        <f ca="1">SUMIFS(OFFSET(REL_D,,MATCH(J$3,IND,0)-1),REL_D,$B$3,NwID,Sheet2!$H2)</f>
        <v>292</v>
      </c>
      <c r="K6" s="125">
        <f ca="1">SUMIFS(OFFSET(REL_D,,MATCH(K$3,IND,0)-1),REL_D,$B$3,NwID,Sheet2!$H2)</f>
        <v>726</v>
      </c>
      <c r="L6" s="125">
        <f ca="1">SUMIFS(OFFSET(REL_D,,MATCH(L$3,IND,0)-1),REL_D,$B$3,NwID,Sheet2!$H2)</f>
        <v>331</v>
      </c>
      <c r="M6" s="125">
        <f ca="1">SUMIFS(OFFSET(REL_D,,MATCH(M$3,IND,0)-1),REL_D,$B$3,NwID,Sheet2!$H2)</f>
        <v>1471</v>
      </c>
      <c r="N6" s="165">
        <f ca="1">SUMIFS(OFFSET(REL_D,,MATCH(N$3,IND,0)-1),REL_D,$B$3,NwID,Sheet2!$H2)</f>
        <v>565</v>
      </c>
    </row>
    <row r="7" spans="1:14" ht="16.5" thickTop="1" thickBot="1">
      <c r="A7" s="144" t="s">
        <v>17</v>
      </c>
      <c r="B7" s="155" t="s">
        <v>18</v>
      </c>
      <c r="C7" s="157">
        <f>VLOOKUP($A$3,Sheet3!$C$4:$O$7,2,0)</f>
        <v>132594</v>
      </c>
      <c r="D7" s="158">
        <f>VLOOKUP($A$3,Sheet3!$C$4:$O$7,3,0)</f>
        <v>40342</v>
      </c>
      <c r="E7" s="159">
        <f>VLOOKUP($A$3,Sheet3!$C$4:$O$7,4,0)</f>
        <v>0.30425207777124152</v>
      </c>
      <c r="F7" s="160">
        <f>VLOOKUP($A$3,Sheet3!$C$4:$O$7,5,0)</f>
        <v>92252</v>
      </c>
      <c r="G7" s="158">
        <f>VLOOKUP($A$3,Sheet3!$C$4:$O$7,6,0)</f>
        <v>2151</v>
      </c>
      <c r="H7" s="158">
        <f>VLOOKUP($A$3,Sheet3!$C$4:$O$7,7,0)</f>
        <v>1201</v>
      </c>
      <c r="I7" s="158">
        <f>VLOOKUP($A$3,Sheet3!$C$4:$O$7,8,0)</f>
        <v>4941</v>
      </c>
      <c r="J7" s="158">
        <f>VLOOKUP($A$3,Sheet3!$C$4:$O$7,9,0)</f>
        <v>1909</v>
      </c>
      <c r="K7" s="158">
        <f>VLOOKUP($A$3,Sheet3!$C$4:$O$7,10,0)</f>
        <v>3605</v>
      </c>
      <c r="L7" s="158">
        <f>VLOOKUP($A$3,Sheet3!$C$4:$O$7,11,0)</f>
        <v>1909</v>
      </c>
      <c r="M7" s="158">
        <f>VLOOKUP($A$3,Sheet3!$C$4:$O$7,12,0)</f>
        <v>0</v>
      </c>
      <c r="N7" s="166">
        <f>VLOOKUP($A$3,Sheet3!$C$4:$O$7,13,0)</f>
        <v>0</v>
      </c>
    </row>
    <row r="8" spans="1:14">
      <c r="A8" s="167" t="s">
        <v>19</v>
      </c>
      <c r="B8" s="168" t="s">
        <v>20</v>
      </c>
      <c r="C8" s="169">
        <v>98483</v>
      </c>
      <c r="D8" s="170">
        <v>27196</v>
      </c>
      <c r="E8" s="171">
        <f>D8/C8</f>
        <v>0.2761491831077445</v>
      </c>
      <c r="F8" s="172">
        <f>C8-D8</f>
        <v>71287</v>
      </c>
      <c r="G8" s="121"/>
      <c r="H8" s="121"/>
      <c r="I8" s="121"/>
      <c r="J8" s="121"/>
      <c r="K8" s="121"/>
      <c r="L8" s="121"/>
      <c r="M8" s="121"/>
      <c r="N8" s="121"/>
    </row>
    <row r="9" spans="1:14" ht="15.75" thickBot="1">
      <c r="A9" s="145" t="s">
        <v>21</v>
      </c>
      <c r="B9" s="127"/>
      <c r="C9" s="128">
        <f>C7-C8</f>
        <v>34111</v>
      </c>
      <c r="D9" s="129">
        <f>D7-D8</f>
        <v>13146</v>
      </c>
      <c r="E9" s="130">
        <f>E7-E8</f>
        <v>2.8102894663497024E-2</v>
      </c>
      <c r="F9" s="131">
        <f>F7-F8</f>
        <v>20965</v>
      </c>
      <c r="G9" s="121"/>
      <c r="H9" s="121"/>
      <c r="I9" s="121"/>
      <c r="J9" s="121"/>
      <c r="K9" s="121"/>
      <c r="L9" s="121"/>
      <c r="M9" s="121"/>
      <c r="N9" s="121"/>
    </row>
    <row r="10" spans="1:14">
      <c r="A10" s="121"/>
      <c r="B10" s="121"/>
      <c r="C10" s="121"/>
      <c r="D10" s="121"/>
      <c r="E10" s="121"/>
      <c r="F10" s="121"/>
      <c r="G10" s="121"/>
      <c r="H10" s="121"/>
      <c r="I10" s="121"/>
      <c r="J10" s="185" t="s">
        <v>22</v>
      </c>
      <c r="M10" s="121"/>
      <c r="N10" s="121"/>
    </row>
    <row r="11" spans="1:14">
      <c r="A11" s="121"/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  <c r="M11" s="121"/>
      <c r="N11" s="121"/>
    </row>
    <row r="12" spans="1:14">
      <c r="A12" s="175" t="s">
        <v>23</v>
      </c>
      <c r="B12" s="176" t="s">
        <v>24</v>
      </c>
      <c r="C12" s="121"/>
      <c r="D12" s="185" t="s">
        <v>25</v>
      </c>
      <c r="F12" s="121"/>
      <c r="G12" s="121"/>
      <c r="H12" s="121"/>
      <c r="I12" s="121"/>
      <c r="J12" s="121"/>
      <c r="K12" s="121"/>
      <c r="L12" s="121"/>
      <c r="M12" s="121"/>
      <c r="N12" s="121"/>
    </row>
    <row r="13" spans="1:14">
      <c r="A13" s="121"/>
      <c r="B13" s="121"/>
      <c r="C13" s="121"/>
      <c r="D13" s="121"/>
      <c r="E13" s="121"/>
      <c r="F13" s="121"/>
      <c r="G13" s="177" t="s">
        <v>26</v>
      </c>
      <c r="H13" s="121"/>
      <c r="I13" s="121"/>
      <c r="J13" s="121"/>
      <c r="K13" s="121"/>
      <c r="L13" s="121"/>
      <c r="M13" s="121"/>
      <c r="N13" s="121"/>
    </row>
    <row r="14" spans="1:14"/>
    <row r="15" spans="1:14"/>
  </sheetData>
  <conditionalFormatting sqref="C4:F4">
    <cfRule type="expression" dxfId="65" priority="6">
      <formula>ISERROR(C4)</formula>
    </cfRule>
  </conditionalFormatting>
  <conditionalFormatting sqref="G4:N4">
    <cfRule type="expression" dxfId="64" priority="7">
      <formula>ISERROR(G4)</formula>
    </cfRule>
  </conditionalFormatting>
  <conditionalFormatting sqref="F8">
    <cfRule type="expression" dxfId="63" priority="4">
      <formula>ISERROR(F8)</formula>
    </cfRule>
  </conditionalFormatting>
  <conditionalFormatting sqref="C8:E8 A8:A9">
    <cfRule type="expression" dxfId="62" priority="5">
      <formula>ISERROR(A8)</formula>
    </cfRule>
  </conditionalFormatting>
  <pageMargins left="0.7" right="0.7" top="0.75" bottom="0.75" header="0.3" footer="0.3"/>
  <ignoredErrors>
    <ignoredError sqref="E6" formula="1"/>
  </ignoredErrors>
  <drawing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CONTROL!$F$2:$F$5</xm:f>
          </x14:formula1>
          <xm:sqref>B3</xm:sqref>
        </x14:dataValidation>
        <x14:dataValidation type="list" allowBlank="1" showInputMessage="1" showErrorMessage="1" xr:uid="{00000000-0002-0000-0000-000001000000}">
          <x14:formula1>
            <xm:f>Sheet2!$B$2:$B$41</xm:f>
          </x14:formula1>
          <xm:sqref>B5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39997558519241921"/>
  </sheetPr>
  <dimension ref="A1:N50"/>
  <sheetViews>
    <sheetView showGridLines="0" zoomScale="80" zoomScaleNormal="80" workbookViewId="0">
      <selection activeCell="C21" sqref="C21"/>
    </sheetView>
  </sheetViews>
  <sheetFormatPr defaultRowHeight="15"/>
  <cols>
    <col min="1" max="1" width="48.42578125" customWidth="1"/>
    <col min="2" max="2" width="12.42578125" customWidth="1"/>
    <col min="3" max="4" width="14.42578125" customWidth="1"/>
    <col min="5" max="5" width="15.7109375" customWidth="1"/>
    <col min="6" max="6" width="14.42578125" customWidth="1"/>
    <col min="7" max="14" width="19.28515625" customWidth="1"/>
  </cols>
  <sheetData>
    <row r="1" spans="1:14" ht="29.25" thickTop="1">
      <c r="A1" s="58" t="str">
        <f>"Waltham Forest: NHS Health Check - Public Health Outcome Framework (2020-2021 "&amp;A3&amp;")"</f>
        <v>Waltham Forest: NHS Health Check - Public Health Outcome Framework (2020-2021 Quarter 4)</v>
      </c>
      <c r="B1" s="59"/>
      <c r="C1" s="60"/>
      <c r="D1" s="60"/>
      <c r="E1" s="60"/>
      <c r="F1" s="60"/>
      <c r="G1" s="59"/>
      <c r="H1" s="59"/>
      <c r="I1" s="59"/>
      <c r="J1" s="59"/>
      <c r="K1" s="59"/>
      <c r="L1" s="59"/>
      <c r="M1" s="59"/>
      <c r="N1" s="61"/>
    </row>
    <row r="2" spans="1:14" ht="15.75" thickBot="1">
      <c r="A2" s="62"/>
      <c r="C2" s="41" t="s">
        <v>1</v>
      </c>
      <c r="D2" s="41" t="s">
        <v>2</v>
      </c>
      <c r="E2" s="37"/>
      <c r="F2" s="38" t="s">
        <v>2</v>
      </c>
      <c r="G2" s="38" t="s">
        <v>3</v>
      </c>
      <c r="H2" s="38" t="s">
        <v>4</v>
      </c>
      <c r="I2" s="38" t="s">
        <v>5</v>
      </c>
      <c r="J2" s="38" t="s">
        <v>6</v>
      </c>
      <c r="K2" s="38" t="s">
        <v>7</v>
      </c>
      <c r="L2" s="38" t="s">
        <v>8</v>
      </c>
      <c r="M2" s="38" t="s">
        <v>9</v>
      </c>
      <c r="N2" s="63" t="s">
        <v>10</v>
      </c>
    </row>
    <row r="3" spans="1:14" ht="15.75" thickBot="1">
      <c r="A3" s="64" t="s">
        <v>27</v>
      </c>
      <c r="B3" s="57">
        <f>VLOOKUP(A3,Selection[],2,0)</f>
        <v>44652</v>
      </c>
      <c r="C3" s="65"/>
      <c r="D3" s="66"/>
      <c r="E3" s="66"/>
      <c r="F3" s="55"/>
      <c r="G3" s="2" t="str">
        <f>"Quarter "&amp;RIGHT(G$2,1)</f>
        <v>Quarter 1</v>
      </c>
      <c r="H3" s="45"/>
      <c r="I3" s="36" t="str">
        <f>"Quarter "&amp;RIGHT(I$2,1)</f>
        <v>Quarter 2</v>
      </c>
      <c r="J3" s="46"/>
      <c r="K3" s="2" t="str">
        <f>"Quarter "&amp;RIGHT(K$2,1)</f>
        <v>Quarter 3</v>
      </c>
      <c r="L3" s="45"/>
      <c r="M3" s="36" t="str">
        <f>"Quarter "&amp;RIGHT(M$2,1)</f>
        <v>Quarter 4</v>
      </c>
      <c r="N3" s="67"/>
    </row>
    <row r="4" spans="1:14" ht="60.75" thickBot="1">
      <c r="A4" s="103" t="s">
        <v>28</v>
      </c>
      <c r="B4" s="104" t="s">
        <v>29</v>
      </c>
      <c r="C4" s="105" t="s">
        <v>11</v>
      </c>
      <c r="D4" s="105" t="s">
        <v>12</v>
      </c>
      <c r="E4" s="105" t="s">
        <v>13</v>
      </c>
      <c r="F4" s="106" t="str">
        <f>"Total Eligible Pop (TEP) @"&amp;TEXT(B3,"dd/mm/yyyy")</f>
        <v>Total Eligible Pop (TEP) @01/04/2022</v>
      </c>
      <c r="G4" s="107" t="str">
        <f>"NHS Health Checks Offered "&amp;RIGHT(G2,2)</f>
        <v>NHS Health Checks Offered Q1</v>
      </c>
      <c r="H4" s="108" t="str">
        <f>"NHS Health Checks Done "&amp;RIGHT(H2,2)</f>
        <v>NHS Health Checks Done Q1</v>
      </c>
      <c r="I4" s="107" t="str">
        <f>"NHS Health Checks Offered "&amp;RIGHT(I2,2)</f>
        <v>NHS Health Checks Offered Q2</v>
      </c>
      <c r="J4" s="108" t="str">
        <f>"NHS Health Checks Done "&amp;RIGHT(J2,2)</f>
        <v>NHS Health Checks Done Q2</v>
      </c>
      <c r="K4" s="107" t="str">
        <f>"NHS Health Checks Offered "&amp;RIGHT(K2,2)</f>
        <v>NHS Health Checks Offered Q3</v>
      </c>
      <c r="L4" s="108" t="str">
        <f>"NHS Health Checks Done "&amp;RIGHT(L2,2)</f>
        <v>NHS Health Checks Done Q3</v>
      </c>
      <c r="M4" s="107" t="str">
        <f>"NHS Health Checks Offered "&amp;RIGHT(M2,2)</f>
        <v>NHS Health Checks Offered Q4</v>
      </c>
      <c r="N4" s="109" t="str">
        <f>"NHS Health Checks Done "&amp;RIGHT(N2,2)</f>
        <v>NHS Health Checks Done Q4</v>
      </c>
    </row>
    <row r="5" spans="1:14" ht="15.75" thickTop="1">
      <c r="A5" s="95" t="s">
        <v>15</v>
      </c>
      <c r="B5" s="96" t="s">
        <v>30</v>
      </c>
      <c r="C5" s="97">
        <f t="shared" ref="C5:C43" ca="1" si="0">SUMIFS(OFFSET(REL_D,,MATCH(C$2,IND,0)-1),REL_D,$B$3,OrgID,$B5)</f>
        <v>3599</v>
      </c>
      <c r="D5" s="98">
        <f ca="1">C5-SUMIFS(OFFSET(REL_D,,MATCH(D$2,IND,0)-1),REL_D,$B$3,OrgID,$B5)</f>
        <v>1390</v>
      </c>
      <c r="E5" s="99">
        <f ca="1">IFERROR(D5/C5,"-")</f>
        <v>0.38621839399833285</v>
      </c>
      <c r="F5" s="100">
        <f t="shared" ref="F5:N14" ca="1" si="1">SUMIFS(OFFSET(REL_D,,MATCH(F$2,IND,0)-1),REL_D,$B$3,OrgID,$B5)</f>
        <v>2209</v>
      </c>
      <c r="G5" s="97">
        <f t="shared" ca="1" si="1"/>
        <v>26</v>
      </c>
      <c r="H5" s="101">
        <f t="shared" ca="1" si="1"/>
        <v>25</v>
      </c>
      <c r="I5" s="101">
        <f t="shared" ca="1" si="1"/>
        <v>982</v>
      </c>
      <c r="J5" s="101">
        <f t="shared" ca="1" si="1"/>
        <v>171</v>
      </c>
      <c r="K5" s="101">
        <f t="shared" ca="1" si="1"/>
        <v>317</v>
      </c>
      <c r="L5" s="101">
        <f t="shared" ca="1" si="1"/>
        <v>245</v>
      </c>
      <c r="M5" s="101">
        <f t="shared" ca="1" si="1"/>
        <v>327</v>
      </c>
      <c r="N5" s="102">
        <f t="shared" ca="1" si="1"/>
        <v>324</v>
      </c>
    </row>
    <row r="6" spans="1:14">
      <c r="A6" s="68" t="s">
        <v>31</v>
      </c>
      <c r="B6" s="44" t="s">
        <v>32</v>
      </c>
      <c r="C6" s="97">
        <f t="shared" ca="1" si="0"/>
        <v>5646</v>
      </c>
      <c r="D6" s="47">
        <f t="shared" ref="D6:D43" ca="1" si="2">C6-SUMIFS(OFFSET(REL_D,,MATCH(D$2,IND,0)-1),REL_D,$B$3,OrgID,$B6)</f>
        <v>2019</v>
      </c>
      <c r="E6" s="40">
        <f t="shared" ref="E6:E43" ca="1" si="3">IFERROR(D6/C6,"-")</f>
        <v>0.35759829968119022</v>
      </c>
      <c r="F6" s="43">
        <f t="shared" ca="1" si="1"/>
        <v>3627</v>
      </c>
      <c r="G6" s="42">
        <f t="shared" ca="1" si="1"/>
        <v>240</v>
      </c>
      <c r="H6" s="39">
        <f t="shared" ca="1" si="1"/>
        <v>38</v>
      </c>
      <c r="I6" s="39">
        <f t="shared" ca="1" si="1"/>
        <v>271</v>
      </c>
      <c r="J6" s="39">
        <f t="shared" ca="1" si="1"/>
        <v>98</v>
      </c>
      <c r="K6" s="39">
        <f t="shared" ca="1" si="1"/>
        <v>208</v>
      </c>
      <c r="L6" s="39">
        <f t="shared" ca="1" si="1"/>
        <v>53</v>
      </c>
      <c r="M6" s="39">
        <f t="shared" ca="1" si="1"/>
        <v>959</v>
      </c>
      <c r="N6" s="69">
        <f t="shared" ca="1" si="1"/>
        <v>168</v>
      </c>
    </row>
    <row r="7" spans="1:14">
      <c r="A7" s="68" t="s">
        <v>33</v>
      </c>
      <c r="B7" s="44" t="s">
        <v>34</v>
      </c>
      <c r="C7" s="97">
        <f t="shared" ca="1" si="0"/>
        <v>3165</v>
      </c>
      <c r="D7" s="47">
        <f t="shared" ca="1" si="2"/>
        <v>1031</v>
      </c>
      <c r="E7" s="40">
        <f t="shared" ca="1" si="3"/>
        <v>0.32575039494470776</v>
      </c>
      <c r="F7" s="43">
        <f t="shared" ca="1" si="1"/>
        <v>2134</v>
      </c>
      <c r="G7" s="42">
        <f t="shared" ca="1" si="1"/>
        <v>4</v>
      </c>
      <c r="H7" s="39">
        <f t="shared" ca="1" si="1"/>
        <v>2</v>
      </c>
      <c r="I7" s="39">
        <f t="shared" ca="1" si="1"/>
        <v>2</v>
      </c>
      <c r="J7" s="39">
        <f t="shared" ca="1" si="1"/>
        <v>0</v>
      </c>
      <c r="K7" s="39">
        <f t="shared" ca="1" si="1"/>
        <v>0</v>
      </c>
      <c r="L7" s="39">
        <f t="shared" ca="1" si="1"/>
        <v>0</v>
      </c>
      <c r="M7" s="39">
        <f t="shared" ca="1" si="1"/>
        <v>4</v>
      </c>
      <c r="N7" s="69">
        <f t="shared" ca="1" si="1"/>
        <v>3</v>
      </c>
    </row>
    <row r="8" spans="1:14">
      <c r="A8" s="68" t="s">
        <v>35</v>
      </c>
      <c r="B8" s="44" t="s">
        <v>36</v>
      </c>
      <c r="C8" s="97">
        <f t="shared" ca="1" si="0"/>
        <v>1593</v>
      </c>
      <c r="D8" s="47">
        <f t="shared" ca="1" si="2"/>
        <v>623</v>
      </c>
      <c r="E8" s="40">
        <f t="shared" ca="1" si="3"/>
        <v>0.39108600125549275</v>
      </c>
      <c r="F8" s="43">
        <f t="shared" ca="1" si="1"/>
        <v>970</v>
      </c>
      <c r="G8" s="42">
        <f t="shared" ca="1" si="1"/>
        <v>3</v>
      </c>
      <c r="H8" s="39">
        <f t="shared" ca="1" si="1"/>
        <v>2</v>
      </c>
      <c r="I8" s="39">
        <f t="shared" ca="1" si="1"/>
        <v>35</v>
      </c>
      <c r="J8" s="39">
        <f t="shared" ca="1" si="1"/>
        <v>35</v>
      </c>
      <c r="K8" s="39">
        <f t="shared" ca="1" si="1"/>
        <v>55</v>
      </c>
      <c r="L8" s="39">
        <f t="shared" ca="1" si="1"/>
        <v>55</v>
      </c>
      <c r="M8" s="39">
        <f t="shared" ca="1" si="1"/>
        <v>30</v>
      </c>
      <c r="N8" s="69">
        <f t="shared" ca="1" si="1"/>
        <v>30</v>
      </c>
    </row>
    <row r="9" spans="1:14">
      <c r="A9" s="68" t="s">
        <v>37</v>
      </c>
      <c r="B9" s="44" t="s">
        <v>38</v>
      </c>
      <c r="C9" s="97">
        <f t="shared" ca="1" si="0"/>
        <v>3391</v>
      </c>
      <c r="D9" s="47">
        <f t="shared" ca="1" si="2"/>
        <v>1081</v>
      </c>
      <c r="E9" s="40">
        <f t="shared" ca="1" si="3"/>
        <v>0.31878501916838692</v>
      </c>
      <c r="F9" s="43">
        <f t="shared" ca="1" si="1"/>
        <v>2310</v>
      </c>
      <c r="G9" s="42">
        <f t="shared" ca="1" si="1"/>
        <v>121</v>
      </c>
      <c r="H9" s="39">
        <f t="shared" ca="1" si="1"/>
        <v>89</v>
      </c>
      <c r="I9" s="39">
        <f t="shared" ca="1" si="1"/>
        <v>340</v>
      </c>
      <c r="J9" s="39">
        <f t="shared" ca="1" si="1"/>
        <v>151</v>
      </c>
      <c r="K9" s="39">
        <f t="shared" ca="1" si="1"/>
        <v>143</v>
      </c>
      <c r="L9" s="39">
        <f t="shared" ca="1" si="1"/>
        <v>133</v>
      </c>
      <c r="M9" s="39">
        <f t="shared" ca="1" si="1"/>
        <v>103</v>
      </c>
      <c r="N9" s="69">
        <f t="shared" ca="1" si="1"/>
        <v>92</v>
      </c>
    </row>
    <row r="10" spans="1:14">
      <c r="A10" s="68" t="s">
        <v>39</v>
      </c>
      <c r="B10" s="44" t="s">
        <v>40</v>
      </c>
      <c r="C10" s="97">
        <f t="shared" ca="1" si="0"/>
        <v>3015</v>
      </c>
      <c r="D10" s="47">
        <f t="shared" ca="1" si="2"/>
        <v>863</v>
      </c>
      <c r="E10" s="40">
        <f t="shared" ca="1" si="3"/>
        <v>0.28623548922056385</v>
      </c>
      <c r="F10" s="43">
        <f t="shared" ca="1" si="1"/>
        <v>2152</v>
      </c>
      <c r="G10" s="42">
        <f t="shared" ca="1" si="1"/>
        <v>34</v>
      </c>
      <c r="H10" s="39">
        <f t="shared" ca="1" si="1"/>
        <v>12</v>
      </c>
      <c r="I10" s="39">
        <f t="shared" ca="1" si="1"/>
        <v>103</v>
      </c>
      <c r="J10" s="39">
        <f t="shared" ca="1" si="1"/>
        <v>23</v>
      </c>
      <c r="K10" s="39">
        <f t="shared" ca="1" si="1"/>
        <v>201</v>
      </c>
      <c r="L10" s="39">
        <f t="shared" ca="1" si="1"/>
        <v>33</v>
      </c>
      <c r="M10" s="39">
        <f t="shared" ca="1" si="1"/>
        <v>181</v>
      </c>
      <c r="N10" s="69">
        <f t="shared" ca="1" si="1"/>
        <v>70</v>
      </c>
    </row>
    <row r="11" spans="1:14">
      <c r="A11" s="68" t="s">
        <v>41</v>
      </c>
      <c r="B11" s="44" t="s">
        <v>42</v>
      </c>
      <c r="C11" s="97">
        <f t="shared" ca="1" si="0"/>
        <v>2114</v>
      </c>
      <c r="D11" s="47">
        <f ca="1">C11-SUMIFS(OFFSET(REL_D,,MATCH(D$2,IND,0)-1),REL_D,$B$3,OrgID,$B11)</f>
        <v>762</v>
      </c>
      <c r="E11" s="40">
        <f t="shared" ca="1" si="3"/>
        <v>0.36045411542100286</v>
      </c>
      <c r="F11" s="43">
        <f t="shared" ca="1" si="1"/>
        <v>1352</v>
      </c>
      <c r="G11" s="42">
        <f t="shared" ca="1" si="1"/>
        <v>0</v>
      </c>
      <c r="H11" s="39">
        <f t="shared" ca="1" si="1"/>
        <v>0</v>
      </c>
      <c r="I11" s="39">
        <f t="shared" ca="1" si="1"/>
        <v>3</v>
      </c>
      <c r="J11" s="39">
        <f t="shared" ca="1" si="1"/>
        <v>2</v>
      </c>
      <c r="K11" s="39">
        <f t="shared" ca="1" si="1"/>
        <v>1</v>
      </c>
      <c r="L11" s="39">
        <f t="shared" ca="1" si="1"/>
        <v>1</v>
      </c>
      <c r="M11" s="39">
        <f t="shared" ca="1" si="1"/>
        <v>1</v>
      </c>
      <c r="N11" s="69">
        <f t="shared" ca="1" si="1"/>
        <v>11</v>
      </c>
    </row>
    <row r="12" spans="1:14">
      <c r="A12" s="68" t="s">
        <v>43</v>
      </c>
      <c r="B12" s="44" t="s">
        <v>44</v>
      </c>
      <c r="C12" s="97">
        <f t="shared" ca="1" si="0"/>
        <v>3911</v>
      </c>
      <c r="D12" s="47">
        <f t="shared" ca="1" si="2"/>
        <v>1344</v>
      </c>
      <c r="E12" s="40">
        <f t="shared" ca="1" si="3"/>
        <v>0.34364612631040653</v>
      </c>
      <c r="F12" s="43">
        <f t="shared" ca="1" si="1"/>
        <v>2567</v>
      </c>
      <c r="G12" s="42">
        <f t="shared" ca="1" si="1"/>
        <v>4</v>
      </c>
      <c r="H12" s="39">
        <f t="shared" ca="1" si="1"/>
        <v>4</v>
      </c>
      <c r="I12" s="39">
        <f t="shared" ca="1" si="1"/>
        <v>3</v>
      </c>
      <c r="J12" s="39">
        <f t="shared" ca="1" si="1"/>
        <v>3</v>
      </c>
      <c r="K12" s="39">
        <f t="shared" ca="1" si="1"/>
        <v>3</v>
      </c>
      <c r="L12" s="39">
        <f t="shared" ca="1" si="1"/>
        <v>0</v>
      </c>
      <c r="M12" s="39">
        <f t="shared" ca="1" si="1"/>
        <v>678</v>
      </c>
      <c r="N12" s="69">
        <f t="shared" ca="1" si="1"/>
        <v>30</v>
      </c>
    </row>
    <row r="13" spans="1:14">
      <c r="A13" s="68" t="s">
        <v>45</v>
      </c>
      <c r="B13" s="44" t="s">
        <v>46</v>
      </c>
      <c r="C13" s="97">
        <f t="shared" ca="1" si="0"/>
        <v>6144</v>
      </c>
      <c r="D13" s="47">
        <f t="shared" ca="1" si="2"/>
        <v>1764</v>
      </c>
      <c r="E13" s="40">
        <f t="shared" ca="1" si="3"/>
        <v>0.287109375</v>
      </c>
      <c r="F13" s="43">
        <f t="shared" ca="1" si="1"/>
        <v>4380</v>
      </c>
      <c r="G13" s="42">
        <f t="shared" ca="1" si="1"/>
        <v>1</v>
      </c>
      <c r="H13" s="39">
        <f t="shared" ca="1" si="1"/>
        <v>0</v>
      </c>
      <c r="I13" s="39">
        <f t="shared" ca="1" si="1"/>
        <v>180</v>
      </c>
      <c r="J13" s="39">
        <f t="shared" ca="1" si="1"/>
        <v>139</v>
      </c>
      <c r="K13" s="39">
        <f t="shared" ca="1" si="1"/>
        <v>289</v>
      </c>
      <c r="L13" s="39">
        <f t="shared" ca="1" si="1"/>
        <v>189</v>
      </c>
      <c r="M13" s="39">
        <f t="shared" ca="1" si="1"/>
        <v>244</v>
      </c>
      <c r="N13" s="69">
        <f t="shared" ca="1" si="1"/>
        <v>147</v>
      </c>
    </row>
    <row r="14" spans="1:14">
      <c r="A14" s="68" t="s">
        <v>47</v>
      </c>
      <c r="B14" s="44" t="s">
        <v>48</v>
      </c>
      <c r="C14" s="97">
        <f t="shared" ca="1" si="0"/>
        <v>3962</v>
      </c>
      <c r="D14" s="47">
        <f t="shared" ca="1" si="2"/>
        <v>1400</v>
      </c>
      <c r="E14" s="40">
        <f t="shared" ca="1" si="3"/>
        <v>0.35335689045936397</v>
      </c>
      <c r="F14" s="43">
        <f t="shared" ca="1" si="1"/>
        <v>2562</v>
      </c>
      <c r="G14" s="42">
        <f t="shared" ca="1" si="1"/>
        <v>5</v>
      </c>
      <c r="H14" s="39">
        <f t="shared" ca="1" si="1"/>
        <v>3</v>
      </c>
      <c r="I14" s="39">
        <f t="shared" ca="1" si="1"/>
        <v>13</v>
      </c>
      <c r="J14" s="39">
        <f t="shared" ca="1" si="1"/>
        <v>11</v>
      </c>
      <c r="K14" s="39">
        <f t="shared" ca="1" si="1"/>
        <v>48</v>
      </c>
      <c r="L14" s="39">
        <f t="shared" ca="1" si="1"/>
        <v>48</v>
      </c>
      <c r="M14" s="39">
        <f t="shared" ca="1" si="1"/>
        <v>17</v>
      </c>
      <c r="N14" s="69">
        <f t="shared" ca="1" si="1"/>
        <v>17</v>
      </c>
    </row>
    <row r="15" spans="1:14">
      <c r="A15" s="68" t="s">
        <v>49</v>
      </c>
      <c r="B15" s="44" t="s">
        <v>50</v>
      </c>
      <c r="C15" s="97">
        <f t="shared" ca="1" si="0"/>
        <v>3425</v>
      </c>
      <c r="D15" s="47">
        <f t="shared" ca="1" si="2"/>
        <v>861</v>
      </c>
      <c r="E15" s="40">
        <f t="shared" ca="1" si="3"/>
        <v>0.25138686131386861</v>
      </c>
      <c r="F15" s="43">
        <f t="shared" ref="F15:N24" ca="1" si="4">SUMIFS(OFFSET(REL_D,,MATCH(F$2,IND,0)-1),REL_D,$B$3,OrgID,$B15)</f>
        <v>2564</v>
      </c>
      <c r="G15" s="42">
        <f t="shared" ca="1" si="4"/>
        <v>81</v>
      </c>
      <c r="H15" s="39">
        <f t="shared" ca="1" si="4"/>
        <v>45</v>
      </c>
      <c r="I15" s="39">
        <f t="shared" ca="1" si="4"/>
        <v>702</v>
      </c>
      <c r="J15" s="39">
        <f t="shared" ca="1" si="4"/>
        <v>161</v>
      </c>
      <c r="K15" s="39">
        <f t="shared" ca="1" si="4"/>
        <v>668</v>
      </c>
      <c r="L15" s="39">
        <f t="shared" ca="1" si="4"/>
        <v>135</v>
      </c>
      <c r="M15" s="39">
        <f t="shared" ca="1" si="4"/>
        <v>133</v>
      </c>
      <c r="N15" s="69">
        <f t="shared" ca="1" si="4"/>
        <v>78</v>
      </c>
    </row>
    <row r="16" spans="1:14">
      <c r="A16" s="68" t="s">
        <v>51</v>
      </c>
      <c r="B16" s="44" t="s">
        <v>52</v>
      </c>
      <c r="C16" s="97">
        <f t="shared" ca="1" si="0"/>
        <v>2244</v>
      </c>
      <c r="D16" s="47">
        <f t="shared" ca="1" si="2"/>
        <v>677</v>
      </c>
      <c r="E16" s="40">
        <f t="shared" ca="1" si="3"/>
        <v>0.30169340463458111</v>
      </c>
      <c r="F16" s="43">
        <f t="shared" ca="1" si="4"/>
        <v>1567</v>
      </c>
      <c r="G16" s="42">
        <f t="shared" ca="1" si="4"/>
        <v>17</v>
      </c>
      <c r="H16" s="39">
        <f t="shared" ca="1" si="4"/>
        <v>16</v>
      </c>
      <c r="I16" s="39">
        <f t="shared" ca="1" si="4"/>
        <v>13</v>
      </c>
      <c r="J16" s="39">
        <f t="shared" ca="1" si="4"/>
        <v>9</v>
      </c>
      <c r="K16" s="39">
        <f t="shared" ca="1" si="4"/>
        <v>6</v>
      </c>
      <c r="L16" s="39">
        <f t="shared" ca="1" si="4"/>
        <v>5</v>
      </c>
      <c r="M16" s="39">
        <f t="shared" ca="1" si="4"/>
        <v>400</v>
      </c>
      <c r="N16" s="69">
        <f t="shared" ca="1" si="4"/>
        <v>56</v>
      </c>
    </row>
    <row r="17" spans="1:14">
      <c r="A17" s="68" t="s">
        <v>53</v>
      </c>
      <c r="B17" s="44" t="s">
        <v>54</v>
      </c>
      <c r="C17" s="97">
        <f t="shared" ca="1" si="0"/>
        <v>2373</v>
      </c>
      <c r="D17" s="47">
        <f t="shared" ca="1" si="2"/>
        <v>743</v>
      </c>
      <c r="E17" s="40">
        <f t="shared" ca="1" si="3"/>
        <v>0.31310577328276445</v>
      </c>
      <c r="F17" s="43">
        <f t="shared" ca="1" si="4"/>
        <v>1630</v>
      </c>
      <c r="G17" s="42">
        <f t="shared" ca="1" si="4"/>
        <v>2</v>
      </c>
      <c r="H17" s="39">
        <f t="shared" ca="1" si="4"/>
        <v>2</v>
      </c>
      <c r="I17" s="39">
        <f t="shared" ca="1" si="4"/>
        <v>4</v>
      </c>
      <c r="J17" s="39">
        <f t="shared" ca="1" si="4"/>
        <v>1</v>
      </c>
      <c r="K17" s="39">
        <f t="shared" ca="1" si="4"/>
        <v>3</v>
      </c>
      <c r="L17" s="39">
        <f t="shared" ca="1" si="4"/>
        <v>0</v>
      </c>
      <c r="M17" s="39">
        <f t="shared" ca="1" si="4"/>
        <v>4</v>
      </c>
      <c r="N17" s="69">
        <f t="shared" ca="1" si="4"/>
        <v>4</v>
      </c>
    </row>
    <row r="18" spans="1:14">
      <c r="A18" s="68" t="s">
        <v>55</v>
      </c>
      <c r="B18" s="44" t="s">
        <v>56</v>
      </c>
      <c r="C18" s="97">
        <f t="shared" ca="1" si="0"/>
        <v>1223</v>
      </c>
      <c r="D18" s="47">
        <f t="shared" ca="1" si="2"/>
        <v>409</v>
      </c>
      <c r="E18" s="40">
        <f t="shared" ca="1" si="3"/>
        <v>0.33442354865085855</v>
      </c>
      <c r="F18" s="43">
        <f t="shared" ca="1" si="4"/>
        <v>814</v>
      </c>
      <c r="G18" s="42">
        <f t="shared" ca="1" si="4"/>
        <v>16</v>
      </c>
      <c r="H18" s="39">
        <f t="shared" ca="1" si="4"/>
        <v>16</v>
      </c>
      <c r="I18" s="39">
        <f t="shared" ca="1" si="4"/>
        <v>207</v>
      </c>
      <c r="J18" s="39">
        <f t="shared" ca="1" si="4"/>
        <v>50</v>
      </c>
      <c r="K18" s="39">
        <f t="shared" ca="1" si="4"/>
        <v>37</v>
      </c>
      <c r="L18" s="39">
        <f t="shared" ca="1" si="4"/>
        <v>35</v>
      </c>
      <c r="M18" s="39">
        <f t="shared" ca="1" si="4"/>
        <v>24</v>
      </c>
      <c r="N18" s="69">
        <f t="shared" ca="1" si="4"/>
        <v>24</v>
      </c>
    </row>
    <row r="19" spans="1:14">
      <c r="A19" s="68" t="s">
        <v>57</v>
      </c>
      <c r="B19" s="44" t="s">
        <v>58</v>
      </c>
      <c r="C19" s="97">
        <f t="shared" ca="1" si="0"/>
        <v>868</v>
      </c>
      <c r="D19" s="47">
        <f t="shared" ca="1" si="2"/>
        <v>284</v>
      </c>
      <c r="E19" s="40">
        <f t="shared" ca="1" si="3"/>
        <v>0.32718894009216593</v>
      </c>
      <c r="F19" s="43">
        <f t="shared" ca="1" si="4"/>
        <v>584</v>
      </c>
      <c r="G19" s="42">
        <f t="shared" ca="1" si="4"/>
        <v>19</v>
      </c>
      <c r="H19" s="39">
        <f t="shared" ca="1" si="4"/>
        <v>18</v>
      </c>
      <c r="I19" s="39">
        <f t="shared" ca="1" si="4"/>
        <v>20</v>
      </c>
      <c r="J19" s="39">
        <f t="shared" ca="1" si="4"/>
        <v>20</v>
      </c>
      <c r="K19" s="39">
        <f t="shared" ca="1" si="4"/>
        <v>18</v>
      </c>
      <c r="L19" s="39">
        <f t="shared" ca="1" si="4"/>
        <v>18</v>
      </c>
      <c r="M19" s="39">
        <f t="shared" ca="1" si="4"/>
        <v>59</v>
      </c>
      <c r="N19" s="69">
        <f t="shared" ca="1" si="4"/>
        <v>56</v>
      </c>
    </row>
    <row r="20" spans="1:14">
      <c r="A20" s="68" t="s">
        <v>59</v>
      </c>
      <c r="B20" s="44" t="s">
        <v>60</v>
      </c>
      <c r="C20" s="97">
        <f t="shared" ca="1" si="0"/>
        <v>1454</v>
      </c>
      <c r="D20" s="47">
        <f t="shared" ca="1" si="2"/>
        <v>528</v>
      </c>
      <c r="E20" s="40">
        <f t="shared" ca="1" si="3"/>
        <v>0.36313617606602477</v>
      </c>
      <c r="F20" s="43">
        <f t="shared" ca="1" si="4"/>
        <v>926</v>
      </c>
      <c r="G20" s="42">
        <f t="shared" ca="1" si="4"/>
        <v>40</v>
      </c>
      <c r="H20" s="39">
        <f t="shared" ca="1" si="4"/>
        <v>12</v>
      </c>
      <c r="I20" s="39">
        <f t="shared" ca="1" si="4"/>
        <v>6</v>
      </c>
      <c r="J20" s="39">
        <f t="shared" ca="1" si="4"/>
        <v>3</v>
      </c>
      <c r="K20" s="39">
        <f t="shared" ca="1" si="4"/>
        <v>0</v>
      </c>
      <c r="L20" s="39">
        <f t="shared" ca="1" si="4"/>
        <v>0</v>
      </c>
      <c r="M20" s="39">
        <f t="shared" ca="1" si="4"/>
        <v>10</v>
      </c>
      <c r="N20" s="69">
        <f t="shared" ca="1" si="4"/>
        <v>2</v>
      </c>
    </row>
    <row r="21" spans="1:14">
      <c r="A21" s="68" t="s">
        <v>61</v>
      </c>
      <c r="B21" s="44" t="s">
        <v>62</v>
      </c>
      <c r="C21" s="97">
        <f t="shared" ca="1" si="0"/>
        <v>3167</v>
      </c>
      <c r="D21" s="47">
        <f t="shared" ca="1" si="2"/>
        <v>969</v>
      </c>
      <c r="E21" s="40">
        <f t="shared" ca="1" si="3"/>
        <v>0.30596779286390907</v>
      </c>
      <c r="F21" s="43">
        <f t="shared" ca="1" si="4"/>
        <v>2198</v>
      </c>
      <c r="G21" s="42">
        <f t="shared" ca="1" si="4"/>
        <v>612</v>
      </c>
      <c r="H21" s="39">
        <f t="shared" ca="1" si="4"/>
        <v>213</v>
      </c>
      <c r="I21" s="39">
        <f t="shared" ca="1" si="4"/>
        <v>140</v>
      </c>
      <c r="J21" s="39">
        <f t="shared" ca="1" si="4"/>
        <v>113</v>
      </c>
      <c r="K21" s="39">
        <f t="shared" ca="1" si="4"/>
        <v>52</v>
      </c>
      <c r="L21" s="39">
        <f t="shared" ca="1" si="4"/>
        <v>48</v>
      </c>
      <c r="M21" s="39">
        <f t="shared" ca="1" si="4"/>
        <v>72</v>
      </c>
      <c r="N21" s="69">
        <f t="shared" ca="1" si="4"/>
        <v>72</v>
      </c>
    </row>
    <row r="22" spans="1:14">
      <c r="A22" s="68" t="s">
        <v>63</v>
      </c>
      <c r="B22" s="44" t="s">
        <v>64</v>
      </c>
      <c r="C22" s="97">
        <f t="shared" ca="1" si="0"/>
        <v>2441</v>
      </c>
      <c r="D22" s="47">
        <f t="shared" ca="1" si="2"/>
        <v>840</v>
      </c>
      <c r="E22" s="40">
        <f t="shared" ca="1" si="3"/>
        <v>0.34412126177795987</v>
      </c>
      <c r="F22" s="43">
        <f t="shared" ca="1" si="4"/>
        <v>1601</v>
      </c>
      <c r="G22" s="42">
        <f t="shared" ca="1" si="4"/>
        <v>0</v>
      </c>
      <c r="H22" s="39">
        <f t="shared" ca="1" si="4"/>
        <v>0</v>
      </c>
      <c r="I22" s="39">
        <f t="shared" ca="1" si="4"/>
        <v>26</v>
      </c>
      <c r="J22" s="39">
        <f t="shared" ca="1" si="4"/>
        <v>24</v>
      </c>
      <c r="K22" s="39">
        <f t="shared" ca="1" si="4"/>
        <v>7</v>
      </c>
      <c r="L22" s="39">
        <f t="shared" ca="1" si="4"/>
        <v>7</v>
      </c>
      <c r="M22" s="39">
        <f t="shared" ca="1" si="4"/>
        <v>1</v>
      </c>
      <c r="N22" s="69">
        <f t="shared" ca="1" si="4"/>
        <v>0</v>
      </c>
    </row>
    <row r="23" spans="1:14">
      <c r="A23" s="68" t="s">
        <v>65</v>
      </c>
      <c r="B23" s="44" t="s">
        <v>66</v>
      </c>
      <c r="C23" s="97">
        <f t="shared" ca="1" si="0"/>
        <v>5548</v>
      </c>
      <c r="D23" s="47">
        <f t="shared" ca="1" si="2"/>
        <v>1958</v>
      </c>
      <c r="E23" s="40">
        <f t="shared" ca="1" si="3"/>
        <v>0.35291997116077867</v>
      </c>
      <c r="F23" s="43">
        <f t="shared" ca="1" si="4"/>
        <v>3590</v>
      </c>
      <c r="G23" s="42">
        <f t="shared" ca="1" si="4"/>
        <v>203</v>
      </c>
      <c r="H23" s="39">
        <f t="shared" ca="1" si="4"/>
        <v>155</v>
      </c>
      <c r="I23" s="39">
        <f t="shared" ca="1" si="4"/>
        <v>340</v>
      </c>
      <c r="J23" s="39">
        <f t="shared" ca="1" si="4"/>
        <v>168</v>
      </c>
      <c r="K23" s="39">
        <f t="shared" ca="1" si="4"/>
        <v>229</v>
      </c>
      <c r="L23" s="39">
        <f t="shared" ca="1" si="4"/>
        <v>149</v>
      </c>
      <c r="M23" s="39">
        <f t="shared" ca="1" si="4"/>
        <v>239</v>
      </c>
      <c r="N23" s="69">
        <f t="shared" ca="1" si="4"/>
        <v>188</v>
      </c>
    </row>
    <row r="24" spans="1:14">
      <c r="A24" s="68" t="s">
        <v>67</v>
      </c>
      <c r="B24" s="44" t="s">
        <v>68</v>
      </c>
      <c r="C24" s="97">
        <f t="shared" ca="1" si="0"/>
        <v>1289</v>
      </c>
      <c r="D24" s="47">
        <f t="shared" ca="1" si="2"/>
        <v>436</v>
      </c>
      <c r="E24" s="40">
        <f t="shared" ca="1" si="3"/>
        <v>0.33824670287044223</v>
      </c>
      <c r="F24" s="43">
        <f t="shared" ca="1" si="4"/>
        <v>853</v>
      </c>
      <c r="G24" s="42">
        <f t="shared" ca="1" si="4"/>
        <v>44</v>
      </c>
      <c r="H24" s="39">
        <f t="shared" ca="1" si="4"/>
        <v>44</v>
      </c>
      <c r="I24" s="39">
        <f t="shared" ca="1" si="4"/>
        <v>37</v>
      </c>
      <c r="J24" s="39">
        <f t="shared" ca="1" si="4"/>
        <v>36</v>
      </c>
      <c r="K24" s="39">
        <f t="shared" ca="1" si="4"/>
        <v>36</v>
      </c>
      <c r="L24" s="39">
        <f t="shared" ca="1" si="4"/>
        <v>35</v>
      </c>
      <c r="M24" s="39">
        <f t="shared" ca="1" si="4"/>
        <v>53</v>
      </c>
      <c r="N24" s="69">
        <f t="shared" ca="1" si="4"/>
        <v>40</v>
      </c>
    </row>
    <row r="25" spans="1:14">
      <c r="A25" s="68" t="s">
        <v>69</v>
      </c>
      <c r="B25" s="44" t="s">
        <v>70</v>
      </c>
      <c r="C25" s="97">
        <f t="shared" ca="1" si="0"/>
        <v>1993</v>
      </c>
      <c r="D25" s="47">
        <f t="shared" ca="1" si="2"/>
        <v>650</v>
      </c>
      <c r="E25" s="40">
        <f t="shared" ca="1" si="3"/>
        <v>0.32614149523331659</v>
      </c>
      <c r="F25" s="43">
        <f t="shared" ref="F25:N43" ca="1" si="5">SUMIFS(OFFSET(REL_D,,MATCH(F$2,IND,0)-1),REL_D,$B$3,OrgID,$B25)</f>
        <v>1343</v>
      </c>
      <c r="G25" s="42">
        <f t="shared" ca="1" si="5"/>
        <v>0</v>
      </c>
      <c r="H25" s="39">
        <f t="shared" ca="1" si="5"/>
        <v>0</v>
      </c>
      <c r="I25" s="39">
        <f t="shared" ca="1" si="5"/>
        <v>2</v>
      </c>
      <c r="J25" s="39">
        <f t="shared" ca="1" si="5"/>
        <v>1</v>
      </c>
      <c r="K25" s="39">
        <f t="shared" ca="1" si="5"/>
        <v>1</v>
      </c>
      <c r="L25" s="39">
        <f t="shared" ca="1" si="5"/>
        <v>1</v>
      </c>
      <c r="M25" s="39">
        <f t="shared" ca="1" si="5"/>
        <v>480</v>
      </c>
      <c r="N25" s="69">
        <f t="shared" ca="1" si="5"/>
        <v>69</v>
      </c>
    </row>
    <row r="26" spans="1:14">
      <c r="A26" s="68" t="s">
        <v>71</v>
      </c>
      <c r="B26" s="44" t="s">
        <v>72</v>
      </c>
      <c r="C26" s="97">
        <f t="shared" ca="1" si="0"/>
        <v>5501</v>
      </c>
      <c r="D26" s="47">
        <f t="shared" ca="1" si="2"/>
        <v>1903</v>
      </c>
      <c r="E26" s="40">
        <f t="shared" ca="1" si="3"/>
        <v>0.34593710234502817</v>
      </c>
      <c r="F26" s="43">
        <f t="shared" ca="1" si="5"/>
        <v>3598</v>
      </c>
      <c r="G26" s="42">
        <f t="shared" ca="1" si="5"/>
        <v>10</v>
      </c>
      <c r="H26" s="39">
        <f t="shared" ca="1" si="5"/>
        <v>16</v>
      </c>
      <c r="I26" s="39">
        <f t="shared" ca="1" si="5"/>
        <v>22</v>
      </c>
      <c r="J26" s="39">
        <f t="shared" ca="1" si="5"/>
        <v>32</v>
      </c>
      <c r="K26" s="39">
        <f t="shared" ca="1" si="5"/>
        <v>25</v>
      </c>
      <c r="L26" s="39">
        <f t="shared" ref="L26:N43" ca="1" si="6">SUMIFS(OFFSET(REL_D,,MATCH(L$2,IND,0)-1),REL_D,$B$3,OrgID,$B26)</f>
        <v>32</v>
      </c>
      <c r="M26" s="39">
        <f t="shared" ca="1" si="6"/>
        <v>41</v>
      </c>
      <c r="N26" s="69">
        <f t="shared" ca="1" si="6"/>
        <v>59</v>
      </c>
    </row>
    <row r="27" spans="1:14">
      <c r="A27" s="68" t="s">
        <v>73</v>
      </c>
      <c r="B27" s="44" t="s">
        <v>74</v>
      </c>
      <c r="C27" s="97">
        <f t="shared" ca="1" si="0"/>
        <v>4101</v>
      </c>
      <c r="D27" s="47">
        <f t="shared" ca="1" si="2"/>
        <v>1513</v>
      </c>
      <c r="E27" s="40">
        <f t="shared" ca="1" si="3"/>
        <v>0.36893440624237989</v>
      </c>
      <c r="F27" s="43">
        <f t="shared" ca="1" si="5"/>
        <v>2588</v>
      </c>
      <c r="G27" s="42">
        <f t="shared" ca="1" si="5"/>
        <v>10</v>
      </c>
      <c r="H27" s="39">
        <f t="shared" ca="1" si="5"/>
        <v>1</v>
      </c>
      <c r="I27" s="39">
        <f t="shared" ca="1" si="5"/>
        <v>19</v>
      </c>
      <c r="J27" s="39">
        <f t="shared" ca="1" si="5"/>
        <v>7</v>
      </c>
      <c r="K27" s="39">
        <f t="shared" ca="1" si="5"/>
        <v>16</v>
      </c>
      <c r="L27" s="39">
        <f t="shared" ca="1" si="6"/>
        <v>15</v>
      </c>
      <c r="M27" s="39">
        <f t="shared" ca="1" si="6"/>
        <v>44</v>
      </c>
      <c r="N27" s="69">
        <f t="shared" ca="1" si="6"/>
        <v>52</v>
      </c>
    </row>
    <row r="28" spans="1:14">
      <c r="A28" s="68" t="s">
        <v>75</v>
      </c>
      <c r="B28" s="44" t="s">
        <v>76</v>
      </c>
      <c r="C28" s="97">
        <f t="shared" ca="1" si="0"/>
        <v>5736</v>
      </c>
      <c r="D28" s="47">
        <f t="shared" ca="1" si="2"/>
        <v>1623</v>
      </c>
      <c r="E28" s="40">
        <f t="shared" ca="1" si="3"/>
        <v>0.28294979079497906</v>
      </c>
      <c r="F28" s="43">
        <f t="shared" ca="1" si="5"/>
        <v>4113</v>
      </c>
      <c r="G28" s="42">
        <f t="shared" ca="1" si="5"/>
        <v>312</v>
      </c>
      <c r="H28" s="39">
        <f t="shared" ca="1" si="5"/>
        <v>235</v>
      </c>
      <c r="I28" s="39">
        <f t="shared" ca="1" si="5"/>
        <v>176</v>
      </c>
      <c r="J28" s="39">
        <f t="shared" ca="1" si="5"/>
        <v>126</v>
      </c>
      <c r="K28" s="39">
        <f t="shared" ca="1" si="5"/>
        <v>613</v>
      </c>
      <c r="L28" s="39">
        <f t="shared" ca="1" si="6"/>
        <v>123</v>
      </c>
      <c r="M28" s="39">
        <f t="shared" ca="1" si="6"/>
        <v>185</v>
      </c>
      <c r="N28" s="69">
        <f t="shared" ca="1" si="6"/>
        <v>148</v>
      </c>
    </row>
    <row r="29" spans="1:14">
      <c r="A29" s="68" t="s">
        <v>77</v>
      </c>
      <c r="B29" s="44" t="s">
        <v>78</v>
      </c>
      <c r="C29" s="97">
        <f t="shared" ca="1" si="0"/>
        <v>1148</v>
      </c>
      <c r="D29" s="47">
        <f t="shared" ca="1" si="2"/>
        <v>449</v>
      </c>
      <c r="E29" s="40">
        <f t="shared" ca="1" si="3"/>
        <v>0.39111498257839722</v>
      </c>
      <c r="F29" s="43">
        <f t="shared" ca="1" si="5"/>
        <v>699</v>
      </c>
      <c r="G29" s="42">
        <f t="shared" ca="1" si="5"/>
        <v>2</v>
      </c>
      <c r="H29" s="39">
        <f t="shared" ca="1" si="5"/>
        <v>2</v>
      </c>
      <c r="I29" s="39">
        <f t="shared" ca="1" si="5"/>
        <v>38</v>
      </c>
      <c r="J29" s="39">
        <f t="shared" ca="1" si="5"/>
        <v>37</v>
      </c>
      <c r="K29" s="39">
        <f t="shared" ca="1" si="5"/>
        <v>143</v>
      </c>
      <c r="L29" s="39">
        <f t="shared" ca="1" si="6"/>
        <v>136</v>
      </c>
      <c r="M29" s="39">
        <f t="shared" ca="1" si="6"/>
        <v>39</v>
      </c>
      <c r="N29" s="69">
        <f t="shared" ca="1" si="6"/>
        <v>30</v>
      </c>
    </row>
    <row r="30" spans="1:14">
      <c r="A30" s="68" t="s">
        <v>79</v>
      </c>
      <c r="B30" s="44" t="s">
        <v>80</v>
      </c>
      <c r="C30" s="97">
        <f t="shared" ca="1" si="0"/>
        <v>3343</v>
      </c>
      <c r="D30" s="47">
        <f t="shared" ca="1" si="2"/>
        <v>1123</v>
      </c>
      <c r="E30" s="40">
        <f t="shared" ca="1" si="3"/>
        <v>0.33592581513610531</v>
      </c>
      <c r="F30" s="43">
        <f t="shared" ca="1" si="5"/>
        <v>2220</v>
      </c>
      <c r="G30" s="42">
        <f t="shared" ca="1" si="5"/>
        <v>28</v>
      </c>
      <c r="H30" s="39">
        <f t="shared" ca="1" si="5"/>
        <v>27</v>
      </c>
      <c r="I30" s="39">
        <f t="shared" ca="1" si="5"/>
        <v>10</v>
      </c>
      <c r="J30" s="39">
        <f t="shared" ca="1" si="5"/>
        <v>8</v>
      </c>
      <c r="K30" s="39">
        <f t="shared" ca="1" si="5"/>
        <v>3</v>
      </c>
      <c r="L30" s="39">
        <f t="shared" ca="1" si="6"/>
        <v>0</v>
      </c>
      <c r="M30" s="39">
        <f t="shared" ca="1" si="6"/>
        <v>14</v>
      </c>
      <c r="N30" s="69">
        <f t="shared" ca="1" si="6"/>
        <v>5</v>
      </c>
    </row>
    <row r="31" spans="1:14">
      <c r="A31" s="68" t="s">
        <v>81</v>
      </c>
      <c r="B31" s="44" t="s">
        <v>82</v>
      </c>
      <c r="C31" s="97">
        <f t="shared" ca="1" si="0"/>
        <v>3394</v>
      </c>
      <c r="D31" s="47">
        <f t="shared" ca="1" si="2"/>
        <v>912</v>
      </c>
      <c r="E31" s="40">
        <f t="shared" ca="1" si="3"/>
        <v>0.26870948733058336</v>
      </c>
      <c r="F31" s="43">
        <f t="shared" ca="1" si="5"/>
        <v>2482</v>
      </c>
      <c r="G31" s="42">
        <f t="shared" ca="1" si="5"/>
        <v>14</v>
      </c>
      <c r="H31" s="39">
        <f t="shared" ca="1" si="5"/>
        <v>13</v>
      </c>
      <c r="I31" s="39">
        <f t="shared" ca="1" si="5"/>
        <v>20</v>
      </c>
      <c r="J31" s="39">
        <f t="shared" ca="1" si="5"/>
        <v>19</v>
      </c>
      <c r="K31" s="39">
        <f t="shared" ca="1" si="5"/>
        <v>26</v>
      </c>
      <c r="L31" s="39">
        <f t="shared" ca="1" si="6"/>
        <v>24</v>
      </c>
      <c r="M31" s="39">
        <f t="shared" ca="1" si="6"/>
        <v>395</v>
      </c>
      <c r="N31" s="69">
        <f t="shared" ca="1" si="6"/>
        <v>78</v>
      </c>
    </row>
    <row r="32" spans="1:14">
      <c r="A32" s="68" t="s">
        <v>83</v>
      </c>
      <c r="B32" s="44" t="s">
        <v>84</v>
      </c>
      <c r="C32" s="97">
        <f t="shared" ca="1" si="0"/>
        <v>2301</v>
      </c>
      <c r="D32" s="47">
        <f t="shared" ca="1" si="2"/>
        <v>676</v>
      </c>
      <c r="E32" s="40">
        <f t="shared" ca="1" si="3"/>
        <v>0.29378531073446329</v>
      </c>
      <c r="F32" s="43">
        <f t="shared" ca="1" si="5"/>
        <v>1625</v>
      </c>
      <c r="G32" s="42">
        <f t="shared" ca="1" si="5"/>
        <v>1</v>
      </c>
      <c r="H32" s="39">
        <f t="shared" ca="1" si="5"/>
        <v>1</v>
      </c>
      <c r="I32" s="39">
        <f t="shared" ca="1" si="5"/>
        <v>15</v>
      </c>
      <c r="J32" s="39">
        <f t="shared" ca="1" si="5"/>
        <v>10</v>
      </c>
      <c r="K32" s="39">
        <f t="shared" ca="1" si="5"/>
        <v>3</v>
      </c>
      <c r="L32" s="39">
        <f t="shared" ca="1" si="6"/>
        <v>3</v>
      </c>
      <c r="M32" s="39">
        <f t="shared" ca="1" si="6"/>
        <v>0</v>
      </c>
      <c r="N32" s="69">
        <f t="shared" ca="1" si="6"/>
        <v>0</v>
      </c>
    </row>
    <row r="33" spans="1:14">
      <c r="A33" s="68" t="s">
        <v>85</v>
      </c>
      <c r="B33" s="44" t="s">
        <v>86</v>
      </c>
      <c r="C33" s="97">
        <f t="shared" ca="1" si="0"/>
        <v>2721</v>
      </c>
      <c r="D33" s="47">
        <f t="shared" ca="1" si="2"/>
        <v>912</v>
      </c>
      <c r="E33" s="40">
        <f t="shared" ca="1" si="3"/>
        <v>0.33517089305402425</v>
      </c>
      <c r="F33" s="43">
        <f t="shared" ca="1" si="5"/>
        <v>1809</v>
      </c>
      <c r="G33" s="42">
        <f t="shared" ca="1" si="5"/>
        <v>0</v>
      </c>
      <c r="H33" s="39">
        <f t="shared" ca="1" si="5"/>
        <v>0</v>
      </c>
      <c r="I33" s="39">
        <f t="shared" ca="1" si="5"/>
        <v>23</v>
      </c>
      <c r="J33" s="39">
        <f t="shared" ca="1" si="5"/>
        <v>22</v>
      </c>
      <c r="K33" s="39">
        <f t="shared" ca="1" si="5"/>
        <v>18</v>
      </c>
      <c r="L33" s="39">
        <f t="shared" ca="1" si="6"/>
        <v>18</v>
      </c>
      <c r="M33" s="39">
        <f t="shared" ca="1" si="6"/>
        <v>31</v>
      </c>
      <c r="N33" s="69">
        <f t="shared" ca="1" si="6"/>
        <v>30</v>
      </c>
    </row>
    <row r="34" spans="1:14">
      <c r="A34" s="68" t="s">
        <v>87</v>
      </c>
      <c r="B34" s="44" t="s">
        <v>88</v>
      </c>
      <c r="C34" s="97">
        <f t="shared" ca="1" si="0"/>
        <v>2542</v>
      </c>
      <c r="D34" s="47">
        <f t="shared" ca="1" si="2"/>
        <v>666</v>
      </c>
      <c r="E34" s="40">
        <f t="shared" ca="1" si="3"/>
        <v>0.26199842643587729</v>
      </c>
      <c r="F34" s="43">
        <f t="shared" ca="1" si="5"/>
        <v>1876</v>
      </c>
      <c r="G34" s="42">
        <f t="shared" ca="1" si="5"/>
        <v>18</v>
      </c>
      <c r="H34" s="39">
        <f t="shared" ca="1" si="5"/>
        <v>17</v>
      </c>
      <c r="I34" s="39">
        <f t="shared" ca="1" si="5"/>
        <v>14</v>
      </c>
      <c r="J34" s="39">
        <f t="shared" ca="1" si="5"/>
        <v>13</v>
      </c>
      <c r="K34" s="39">
        <f t="shared" ca="1" si="5"/>
        <v>8</v>
      </c>
      <c r="L34" s="39">
        <f t="shared" ca="1" si="6"/>
        <v>7</v>
      </c>
      <c r="M34" s="39">
        <f t="shared" ca="1" si="6"/>
        <v>10</v>
      </c>
      <c r="N34" s="69">
        <f t="shared" ca="1" si="6"/>
        <v>9</v>
      </c>
    </row>
    <row r="35" spans="1:14">
      <c r="A35" s="186" t="s">
        <v>89</v>
      </c>
      <c r="B35" s="44" t="s">
        <v>90</v>
      </c>
      <c r="C35" s="97">
        <f t="shared" ca="1" si="0"/>
        <v>2806</v>
      </c>
      <c r="D35" s="47">
        <f t="shared" ca="1" si="2"/>
        <v>958</v>
      </c>
      <c r="E35" s="40">
        <f t="shared" ca="1" si="3"/>
        <v>0.3414112615823236</v>
      </c>
      <c r="F35" s="43">
        <f t="shared" ca="1" si="5"/>
        <v>1848</v>
      </c>
      <c r="G35" s="42">
        <f t="shared" ca="1" si="5"/>
        <v>0</v>
      </c>
      <c r="H35" s="39">
        <f t="shared" ca="1" si="5"/>
        <v>0</v>
      </c>
      <c r="I35" s="39">
        <f t="shared" ca="1" si="5"/>
        <v>14</v>
      </c>
      <c r="J35" s="39">
        <f t="shared" ca="1" si="5"/>
        <v>6</v>
      </c>
      <c r="K35" s="39">
        <f t="shared" ca="1" si="5"/>
        <v>6</v>
      </c>
      <c r="L35" s="39">
        <f t="shared" ca="1" si="6"/>
        <v>0</v>
      </c>
      <c r="M35" s="39">
        <f t="shared" ca="1" si="6"/>
        <v>36</v>
      </c>
      <c r="N35" s="69">
        <f t="shared" ca="1" si="6"/>
        <v>11</v>
      </c>
    </row>
    <row r="36" spans="1:14">
      <c r="A36" s="68" t="s">
        <v>91</v>
      </c>
      <c r="B36" s="44" t="s">
        <v>92</v>
      </c>
      <c r="C36" s="97">
        <f t="shared" ca="1" si="0"/>
        <v>2858</v>
      </c>
      <c r="D36" s="47">
        <f t="shared" ca="1" si="2"/>
        <v>906</v>
      </c>
      <c r="E36" s="40">
        <f t="shared" ca="1" si="3"/>
        <v>0.31700489853044089</v>
      </c>
      <c r="F36" s="43">
        <f t="shared" ca="1" si="5"/>
        <v>1952</v>
      </c>
      <c r="G36" s="42">
        <f t="shared" ca="1" si="5"/>
        <v>3</v>
      </c>
      <c r="H36" s="39">
        <f t="shared" ca="1" si="5"/>
        <v>0</v>
      </c>
      <c r="I36" s="39">
        <f t="shared" ca="1" si="5"/>
        <v>21</v>
      </c>
      <c r="J36" s="39">
        <f t="shared" ca="1" si="5"/>
        <v>21</v>
      </c>
      <c r="K36" s="39">
        <f t="shared" ref="K36:K43" ca="1" si="7">SUMIFS(OFFSET(REL_D,,MATCH(K$2,IND,0)-1),REL_D,$B$3,OrgID,$B36)</f>
        <v>19</v>
      </c>
      <c r="L36" s="39">
        <f t="shared" ca="1" si="6"/>
        <v>19</v>
      </c>
      <c r="M36" s="39">
        <f t="shared" ca="1" si="6"/>
        <v>46</v>
      </c>
      <c r="N36" s="69">
        <f t="shared" ca="1" si="6"/>
        <v>46</v>
      </c>
    </row>
    <row r="37" spans="1:14">
      <c r="A37" s="68" t="s">
        <v>93</v>
      </c>
      <c r="B37" s="44" t="s">
        <v>94</v>
      </c>
      <c r="C37" s="97">
        <f t="shared" ca="1" si="0"/>
        <v>2117</v>
      </c>
      <c r="D37" s="47">
        <f t="shared" ca="1" si="2"/>
        <v>572</v>
      </c>
      <c r="E37" s="40">
        <f t="shared" ca="1" si="3"/>
        <v>0.27019367028814362</v>
      </c>
      <c r="F37" s="43">
        <f t="shared" ca="1" si="5"/>
        <v>1545</v>
      </c>
      <c r="G37" s="42">
        <f t="shared" ca="1" si="5"/>
        <v>3</v>
      </c>
      <c r="H37" s="39">
        <f t="shared" ca="1" si="5"/>
        <v>3</v>
      </c>
      <c r="I37" s="39">
        <f t="shared" ca="1" si="5"/>
        <v>4</v>
      </c>
      <c r="J37" s="39">
        <f t="shared" ca="1" si="5"/>
        <v>3</v>
      </c>
      <c r="K37" s="39">
        <f t="shared" ca="1" si="7"/>
        <v>3</v>
      </c>
      <c r="L37" s="39">
        <f t="shared" ca="1" si="6"/>
        <v>1</v>
      </c>
      <c r="M37" s="39">
        <f t="shared" ca="1" si="6"/>
        <v>0</v>
      </c>
      <c r="N37" s="69">
        <f t="shared" ca="1" si="6"/>
        <v>0</v>
      </c>
    </row>
    <row r="38" spans="1:14">
      <c r="A38" s="68" t="s">
        <v>95</v>
      </c>
      <c r="B38" s="44" t="s">
        <v>96</v>
      </c>
      <c r="C38" s="97">
        <f t="shared" ca="1" si="0"/>
        <v>2368</v>
      </c>
      <c r="D38" s="47">
        <f t="shared" ca="1" si="2"/>
        <v>837</v>
      </c>
      <c r="E38" s="40">
        <f t="shared" ca="1" si="3"/>
        <v>0.35346283783783783</v>
      </c>
      <c r="F38" s="43">
        <f t="shared" ca="1" si="5"/>
        <v>1531</v>
      </c>
      <c r="G38" s="42">
        <f t="shared" ca="1" si="5"/>
        <v>7</v>
      </c>
      <c r="H38" s="39">
        <f t="shared" ca="1" si="5"/>
        <v>6</v>
      </c>
      <c r="I38" s="39">
        <f t="shared" ca="1" si="5"/>
        <v>2</v>
      </c>
      <c r="J38" s="39">
        <f t="shared" ca="1" si="5"/>
        <v>2</v>
      </c>
      <c r="K38" s="39">
        <f t="shared" ca="1" si="7"/>
        <v>11</v>
      </c>
      <c r="L38" s="39">
        <f t="shared" ca="1" si="6"/>
        <v>9</v>
      </c>
      <c r="M38" s="39">
        <f t="shared" ca="1" si="6"/>
        <v>20</v>
      </c>
      <c r="N38" s="69">
        <f t="shared" ca="1" si="6"/>
        <v>9</v>
      </c>
    </row>
    <row r="39" spans="1:14">
      <c r="A39" s="68" t="s">
        <v>97</v>
      </c>
      <c r="B39" s="44" t="s">
        <v>98</v>
      </c>
      <c r="C39" s="97">
        <f t="shared" ca="1" si="0"/>
        <v>5739</v>
      </c>
      <c r="D39" s="47">
        <f t="shared" ca="1" si="2"/>
        <v>1759</v>
      </c>
      <c r="E39" s="40">
        <f t="shared" ca="1" si="3"/>
        <v>0.30649939013765465</v>
      </c>
      <c r="F39" s="43">
        <f t="shared" ca="1" si="5"/>
        <v>3980</v>
      </c>
      <c r="G39" s="42">
        <f t="shared" ca="1" si="5"/>
        <v>182</v>
      </c>
      <c r="H39" s="39">
        <f t="shared" ca="1" si="5"/>
        <v>129</v>
      </c>
      <c r="I39" s="39">
        <f t="shared" ca="1" si="5"/>
        <v>255</v>
      </c>
      <c r="J39" s="39">
        <f t="shared" ca="1" si="5"/>
        <v>100</v>
      </c>
      <c r="K39" s="39">
        <f t="shared" ca="1" si="7"/>
        <v>137</v>
      </c>
      <c r="L39" s="39">
        <f t="shared" ca="1" si="6"/>
        <v>79</v>
      </c>
      <c r="M39" s="39">
        <f t="shared" ca="1" si="6"/>
        <v>171</v>
      </c>
      <c r="N39" s="69">
        <f t="shared" ca="1" si="6"/>
        <v>88</v>
      </c>
    </row>
    <row r="40" spans="1:14">
      <c r="A40" s="68" t="s">
        <v>99</v>
      </c>
      <c r="B40" s="44" t="s">
        <v>100</v>
      </c>
      <c r="C40" s="97">
        <f t="shared" ca="1" si="0"/>
        <v>1675</v>
      </c>
      <c r="D40" s="47">
        <f t="shared" ca="1" si="2"/>
        <v>395</v>
      </c>
      <c r="E40" s="40">
        <f t="shared" ca="1" si="3"/>
        <v>0.23582089552238805</v>
      </c>
      <c r="F40" s="43">
        <f t="shared" ca="1" si="5"/>
        <v>1280</v>
      </c>
      <c r="G40" s="42">
        <f t="shared" ca="1" si="5"/>
        <v>27</v>
      </c>
      <c r="H40" s="39">
        <f t="shared" ca="1" si="5"/>
        <v>13</v>
      </c>
      <c r="I40" s="39">
        <f t="shared" ca="1" si="5"/>
        <v>47</v>
      </c>
      <c r="J40" s="39">
        <f t="shared" ca="1" si="5"/>
        <v>31</v>
      </c>
      <c r="K40" s="39">
        <f t="shared" ca="1" si="7"/>
        <v>30</v>
      </c>
      <c r="L40" s="39">
        <f t="shared" ca="1" si="6"/>
        <v>21</v>
      </c>
      <c r="M40" s="39">
        <f t="shared" ca="1" si="6"/>
        <v>30</v>
      </c>
      <c r="N40" s="69">
        <f t="shared" ca="1" si="6"/>
        <v>16</v>
      </c>
    </row>
    <row r="41" spans="1:14">
      <c r="A41" s="68" t="s">
        <v>101</v>
      </c>
      <c r="B41" s="44" t="s">
        <v>102</v>
      </c>
      <c r="C41" s="97">
        <f t="shared" ca="1" si="0"/>
        <v>3732</v>
      </c>
      <c r="D41" s="47">
        <f t="shared" ca="1" si="2"/>
        <v>1223</v>
      </c>
      <c r="E41" s="40">
        <f t="shared" ca="1" si="3"/>
        <v>0.32770632368703106</v>
      </c>
      <c r="F41" s="43">
        <f t="shared" ca="1" si="5"/>
        <v>2509</v>
      </c>
      <c r="G41" s="42">
        <f t="shared" ca="1" si="5"/>
        <v>26</v>
      </c>
      <c r="H41" s="39">
        <f t="shared" ca="1" si="5"/>
        <v>26</v>
      </c>
      <c r="I41" s="39">
        <f t="shared" ca="1" si="5"/>
        <v>14</v>
      </c>
      <c r="J41" s="39">
        <f t="shared" ca="1" si="5"/>
        <v>14</v>
      </c>
      <c r="K41" s="39">
        <f t="shared" ca="1" si="7"/>
        <v>19</v>
      </c>
      <c r="L41" s="39">
        <f t="shared" ca="1" si="6"/>
        <v>19</v>
      </c>
      <c r="M41" s="39">
        <f t="shared" ca="1" si="6"/>
        <v>52</v>
      </c>
      <c r="N41" s="69">
        <f t="shared" ca="1" si="6"/>
        <v>22</v>
      </c>
    </row>
    <row r="42" spans="1:14">
      <c r="A42" s="68" t="s">
        <v>103</v>
      </c>
      <c r="B42" s="44" t="s">
        <v>104</v>
      </c>
      <c r="C42" s="97">
        <f t="shared" ca="1" si="0"/>
        <v>2875</v>
      </c>
      <c r="D42" s="47">
        <f t="shared" ca="1" si="2"/>
        <v>910</v>
      </c>
      <c r="E42" s="40">
        <f t="shared" ca="1" si="3"/>
        <v>0.3165217391304348</v>
      </c>
      <c r="F42" s="43">
        <f t="shared" ca="1" si="5"/>
        <v>1965</v>
      </c>
      <c r="G42" s="42">
        <f t="shared" ca="1" si="5"/>
        <v>12</v>
      </c>
      <c r="H42" s="39">
        <f t="shared" ca="1" si="5"/>
        <v>11</v>
      </c>
      <c r="I42" s="39">
        <f t="shared" ca="1" si="5"/>
        <v>56</v>
      </c>
      <c r="J42" s="39">
        <f t="shared" ca="1" si="5"/>
        <v>90</v>
      </c>
      <c r="K42" s="39">
        <f t="shared" ca="1" si="7"/>
        <v>9</v>
      </c>
      <c r="L42" s="39">
        <f t="shared" ca="1" si="6"/>
        <v>12</v>
      </c>
      <c r="M42" s="39">
        <f t="shared" ca="1" si="6"/>
        <v>9</v>
      </c>
      <c r="N42" s="69">
        <f t="shared" ca="1" si="6"/>
        <v>12</v>
      </c>
    </row>
    <row r="43" spans="1:14">
      <c r="A43" s="68" t="s">
        <v>105</v>
      </c>
      <c r="B43" s="44" t="s">
        <v>106</v>
      </c>
      <c r="C43" s="97">
        <f t="shared" ca="1" si="0"/>
        <v>6810</v>
      </c>
      <c r="D43" s="47">
        <f t="shared" ca="1" si="2"/>
        <v>2260</v>
      </c>
      <c r="E43" s="40">
        <f t="shared" ca="1" si="3"/>
        <v>0.33186490455212925</v>
      </c>
      <c r="F43" s="43">
        <f t="shared" ca="1" si="5"/>
        <v>4550</v>
      </c>
      <c r="G43" s="42">
        <f t="shared" ca="1" si="5"/>
        <v>5</v>
      </c>
      <c r="H43" s="39">
        <f t="shared" ca="1" si="5"/>
        <v>5</v>
      </c>
      <c r="I43" s="39">
        <f t="shared" ca="1" si="5"/>
        <v>10</v>
      </c>
      <c r="J43" s="39">
        <f t="shared" ca="1" si="5"/>
        <v>9</v>
      </c>
      <c r="K43" s="39">
        <f t="shared" ca="1" si="7"/>
        <v>60</v>
      </c>
      <c r="L43" s="39">
        <f t="shared" ca="1" si="6"/>
        <v>22</v>
      </c>
      <c r="M43" s="39">
        <f t="shared" ca="1" si="6"/>
        <v>58</v>
      </c>
      <c r="N43" s="69">
        <f t="shared" ca="1" si="6"/>
        <v>20</v>
      </c>
    </row>
    <row r="44" spans="1:14" ht="15.75" thickBot="1">
      <c r="A44" s="75" t="s">
        <v>107</v>
      </c>
      <c r="B44" s="76"/>
      <c r="C44" s="77">
        <f ca="1">SUM(C5:C43)</f>
        <v>124332</v>
      </c>
      <c r="D44" s="78">
        <f ca="1">SUM(D5:D43)</f>
        <v>40229</v>
      </c>
      <c r="E44" s="79">
        <f t="shared" ref="E44" ca="1" si="8">D44/C44</f>
        <v>0.32356111057491233</v>
      </c>
      <c r="F44" s="80">
        <f t="shared" ref="F44:N44" ca="1" si="9">SUM(F5:F43)</f>
        <v>84103</v>
      </c>
      <c r="G44" s="1">
        <f t="shared" ca="1" si="9"/>
        <v>2132</v>
      </c>
      <c r="H44" s="1">
        <f t="shared" ca="1" si="9"/>
        <v>1201</v>
      </c>
      <c r="I44" s="1">
        <f t="shared" ca="1" si="9"/>
        <v>4189</v>
      </c>
      <c r="J44" s="1">
        <f t="shared" ca="1" si="9"/>
        <v>1769</v>
      </c>
      <c r="K44" s="1">
        <f t="shared" ca="1" si="9"/>
        <v>3471</v>
      </c>
      <c r="L44" s="1">
        <f t="shared" ca="1" si="9"/>
        <v>1730</v>
      </c>
      <c r="M44" s="1">
        <f t="shared" ca="1" si="9"/>
        <v>5200</v>
      </c>
      <c r="N44" s="70">
        <f t="shared" ca="1" si="9"/>
        <v>2116</v>
      </c>
    </row>
    <row r="45" spans="1:14" s="1" customFormat="1">
      <c r="A45" s="81" t="s">
        <v>19</v>
      </c>
      <c r="B45" s="182" t="s">
        <v>20</v>
      </c>
      <c r="C45" s="183">
        <v>99774</v>
      </c>
      <c r="D45" s="183">
        <v>27747</v>
      </c>
      <c r="E45" s="82">
        <f>D45/C45</f>
        <v>0.27809850261591196</v>
      </c>
      <c r="F45" s="113">
        <f>C45-D45</f>
        <v>72027</v>
      </c>
      <c r="G45" s="83"/>
      <c r="H45" s="83"/>
      <c r="I45" s="83"/>
      <c r="J45" s="83"/>
      <c r="K45" s="83"/>
      <c r="L45" s="83"/>
      <c r="M45" s="83"/>
      <c r="N45" s="84"/>
    </row>
    <row r="46" spans="1:14" ht="15.75" thickBot="1">
      <c r="A46" s="85" t="s">
        <v>21</v>
      </c>
      <c r="B46" s="86"/>
      <c r="C46" s="87">
        <f ca="1">C44-C45</f>
        <v>24558</v>
      </c>
      <c r="D46" s="88">
        <f t="shared" ref="D46:E46" ca="1" si="10">D44-D45</f>
        <v>12482</v>
      </c>
      <c r="E46" s="89">
        <f t="shared" ca="1" si="10"/>
        <v>4.5462607959000367E-2</v>
      </c>
      <c r="F46" s="184">
        <f ca="1">F44-F45</f>
        <v>12076</v>
      </c>
      <c r="G46" s="90"/>
      <c r="H46" s="90"/>
      <c r="I46" s="90"/>
      <c r="J46" s="90"/>
      <c r="K46" s="90"/>
      <c r="L46" s="90"/>
      <c r="M46" s="90"/>
      <c r="N46" s="91"/>
    </row>
    <row r="47" spans="1:14">
      <c r="A47" s="110" t="s">
        <v>108</v>
      </c>
      <c r="B47" s="111">
        <f>B3</f>
        <v>44652</v>
      </c>
      <c r="C47" s="71"/>
      <c r="D47" s="112"/>
      <c r="E47" s="71"/>
      <c r="F47" s="71"/>
      <c r="G47" s="71"/>
      <c r="H47" s="71"/>
      <c r="I47" s="71"/>
      <c r="J47" s="71"/>
      <c r="K47" s="71"/>
      <c r="L47" s="71"/>
      <c r="M47" s="71"/>
      <c r="N47" s="72"/>
    </row>
    <row r="48" spans="1:14" ht="26.25">
      <c r="A48" s="94"/>
      <c r="B48" s="92"/>
      <c r="C48" s="92"/>
      <c r="D48" s="92"/>
      <c r="E48" s="93"/>
      <c r="F48" s="93"/>
      <c r="G48" s="71"/>
      <c r="H48" s="71"/>
      <c r="I48" s="71"/>
      <c r="J48" s="71"/>
      <c r="K48" s="71"/>
      <c r="L48" s="71"/>
      <c r="M48" s="71"/>
      <c r="N48" s="72"/>
    </row>
    <row r="49" spans="1:14" ht="15.75" thickBot="1">
      <c r="A49" s="73"/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4"/>
    </row>
    <row r="50" spans="1:14" ht="15.75" thickTop="1"/>
  </sheetData>
  <conditionalFormatting sqref="E45 A45:A46 F3:F10 C3:E4 B5:N5 B12:B25 B28:B41 B44:N44 D28:N41 D12:N25 B6:B10 D6:N10 C6:C43">
    <cfRule type="expression" dxfId="61" priority="7">
      <formula>ISERROR(A3)</formula>
    </cfRule>
  </conditionalFormatting>
  <conditionalFormatting sqref="G4:N4 G3:M3 G45:N45 B3:B4">
    <cfRule type="expression" dxfId="60" priority="31">
      <formula>ISERROR(B3)</formula>
    </cfRule>
  </conditionalFormatting>
  <conditionalFormatting sqref="E44">
    <cfRule type="expression" dxfId="59" priority="30">
      <formula>ISERROR(E44)</formula>
    </cfRule>
  </conditionalFormatting>
  <conditionalFormatting sqref="E44">
    <cfRule type="expression" dxfId="58" priority="29">
      <formula>ISERROR(E44)</formula>
    </cfRule>
  </conditionalFormatting>
  <conditionalFormatting sqref="N3">
    <cfRule type="expression" dxfId="57" priority="27">
      <formula>ISERROR(N3)</formula>
    </cfRule>
  </conditionalFormatting>
  <conditionalFormatting sqref="F45">
    <cfRule type="expression" dxfId="56" priority="6">
      <formula>ISERROR(F45)</formula>
    </cfRule>
  </conditionalFormatting>
  <conditionalFormatting sqref="B11 D11:N11">
    <cfRule type="expression" dxfId="55" priority="4">
      <formula>ISERROR(B11)</formula>
    </cfRule>
  </conditionalFormatting>
  <conditionalFormatting sqref="B26 D26:N26">
    <cfRule type="expression" dxfId="54" priority="3">
      <formula>ISERROR(B26)</formula>
    </cfRule>
  </conditionalFormatting>
  <conditionalFormatting sqref="B27 D27:N27">
    <cfRule type="expression" dxfId="53" priority="2">
      <formula>ISERROR(B27)</formula>
    </cfRule>
  </conditionalFormatting>
  <conditionalFormatting sqref="B42:B43 D42:N43">
    <cfRule type="expression" dxfId="52" priority="1">
      <formula>ISERROR(B42)</formula>
    </cfRule>
  </conditionalFormatting>
  <dataValidations count="1">
    <dataValidation type="list" allowBlank="1" showInputMessage="1" showErrorMessage="1" sqref="A3" xr:uid="{00000000-0002-0000-0100-000000000000}">
      <formula1>QSelection</formula1>
    </dataValidation>
  </dataValidations>
  <pageMargins left="0.7" right="0.7" top="0.75" bottom="0.75" header="0.3" footer="0.3"/>
  <pageSetup paperSize="9" orientation="portrait" r:id="rId1"/>
  <ignoredErrors>
    <ignoredError sqref="H4:N4 E44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39997558519241921"/>
  </sheetPr>
  <dimension ref="A1:Q19"/>
  <sheetViews>
    <sheetView showGridLines="0" zoomScale="80" zoomScaleNormal="80" workbookViewId="0">
      <selection activeCell="A3" sqref="A3"/>
    </sheetView>
  </sheetViews>
  <sheetFormatPr defaultRowHeight="15"/>
  <cols>
    <col min="1" max="1" width="46.5703125" customWidth="1"/>
    <col min="2" max="2" width="12.42578125" customWidth="1"/>
    <col min="3" max="4" width="14.42578125" hidden="1" customWidth="1"/>
    <col min="5" max="5" width="15.7109375" hidden="1" customWidth="1"/>
    <col min="6" max="6" width="14.42578125" hidden="1" customWidth="1"/>
    <col min="7" max="14" width="19.28515625" customWidth="1"/>
    <col min="17" max="17" width="10.85546875" bestFit="1" customWidth="1"/>
  </cols>
  <sheetData>
    <row r="1" spans="1:17" ht="29.25" thickTop="1">
      <c r="A1" s="58" t="str">
        <f>"Waltham Forest: NHS Health Check - Public Health Outcome Framework (2021-2022 "&amp;A3&amp;")"</f>
        <v>Waltham Forest: NHS Health Check - Public Health Outcome Framework (2021-2022 Quarter 4)</v>
      </c>
      <c r="B1" s="59"/>
      <c r="C1" s="60"/>
      <c r="D1" s="60"/>
      <c r="E1" s="60"/>
      <c r="F1" s="60"/>
      <c r="G1" s="59"/>
      <c r="H1" s="59"/>
      <c r="I1" s="59"/>
      <c r="J1" s="59"/>
      <c r="K1" s="59"/>
      <c r="L1" s="59"/>
      <c r="M1" s="59"/>
      <c r="N1" s="61"/>
    </row>
    <row r="2" spans="1:17" ht="15.75" thickBot="1">
      <c r="A2" s="62"/>
      <c r="C2" s="41" t="s">
        <v>1</v>
      </c>
      <c r="D2" s="41" t="s">
        <v>2</v>
      </c>
      <c r="E2" s="37"/>
      <c r="F2" s="38" t="s">
        <v>2</v>
      </c>
      <c r="G2" s="38" t="s">
        <v>3</v>
      </c>
      <c r="H2" s="38" t="s">
        <v>4</v>
      </c>
      <c r="I2" s="38" t="s">
        <v>5</v>
      </c>
      <c r="J2" s="38" t="s">
        <v>6</v>
      </c>
      <c r="K2" s="38" t="s">
        <v>7</v>
      </c>
      <c r="L2" s="38" t="s">
        <v>8</v>
      </c>
      <c r="M2" s="38" t="s">
        <v>9</v>
      </c>
      <c r="N2" s="63" t="s">
        <v>10</v>
      </c>
    </row>
    <row r="3" spans="1:17" ht="15.75" thickBot="1">
      <c r="A3" s="64" t="s">
        <v>27</v>
      </c>
      <c r="B3" s="57">
        <f>VLOOKUP(A3,Selection[],2,0)</f>
        <v>44652</v>
      </c>
      <c r="C3" s="65"/>
      <c r="D3" s="66"/>
      <c r="E3" s="66"/>
      <c r="F3" s="55"/>
      <c r="G3" s="2" t="str">
        <f>"Quarter "&amp;RIGHT(G$2,1)</f>
        <v>Quarter 1</v>
      </c>
      <c r="H3" s="45"/>
      <c r="I3" s="36" t="str">
        <f>"Quarter "&amp;RIGHT(I$2,1)</f>
        <v>Quarter 2</v>
      </c>
      <c r="J3" s="46"/>
      <c r="K3" s="2" t="str">
        <f>"Quarter "&amp;RIGHT(K$2,1)</f>
        <v>Quarter 3</v>
      </c>
      <c r="L3" s="45"/>
      <c r="M3" s="36" t="str">
        <f>"Quarter "&amp;RIGHT(M$2,1)</f>
        <v>Quarter 4</v>
      </c>
      <c r="N3" s="67"/>
    </row>
    <row r="4" spans="1:17" ht="60.75" thickBot="1">
      <c r="A4" s="103" t="s">
        <v>28</v>
      </c>
      <c r="B4" s="104" t="s">
        <v>29</v>
      </c>
      <c r="C4" s="105" t="s">
        <v>11</v>
      </c>
      <c r="D4" s="105" t="s">
        <v>12</v>
      </c>
      <c r="E4" s="105" t="s">
        <v>13</v>
      </c>
      <c r="F4" s="106" t="str">
        <f>"Total Eligible Pop (TEP) @"&amp;TEXT(B3,"dd/mm/yyyy")</f>
        <v>Total Eligible Pop (TEP) @01/04/2022</v>
      </c>
      <c r="G4" s="107" t="str">
        <f>"NHS Health Checks Offered "&amp;RIGHT(G2,2)</f>
        <v>NHS Health Checks Offered Q1</v>
      </c>
      <c r="H4" s="108" t="str">
        <f>"NHS Health Checks Done "&amp;RIGHT(H2,2)</f>
        <v>NHS Health Checks Done Q1</v>
      </c>
      <c r="I4" s="107" t="str">
        <f>"NHS Health Checks Offered "&amp;RIGHT(I2,2)</f>
        <v>NHS Health Checks Offered Q2</v>
      </c>
      <c r="J4" s="108" t="str">
        <f>"NHS Health Checks Done "&amp;RIGHT(J2,2)</f>
        <v>NHS Health Checks Done Q2</v>
      </c>
      <c r="K4" s="107" t="str">
        <f>"NHS Health Checks Offered "&amp;RIGHT(K2,2)</f>
        <v>NHS Health Checks Offered Q3</v>
      </c>
      <c r="L4" s="108" t="str">
        <f>"NHS Health Checks Done "&amp;RIGHT(L2,2)</f>
        <v>NHS Health Checks Done Q3</v>
      </c>
      <c r="M4" s="107" t="str">
        <f>"NHS Health Checks Offered "&amp;RIGHT(M2,2)</f>
        <v>NHS Health Checks Offered Q4</v>
      </c>
      <c r="N4" s="109" t="str">
        <f>"NHS Health Checks Done "&amp;RIGHT(N2,2)</f>
        <v>NHS Health Checks Done Q4</v>
      </c>
      <c r="Q4" s="24"/>
    </row>
    <row r="5" spans="1:17" ht="15.75" thickTop="1">
      <c r="A5" s="68" t="s">
        <v>35</v>
      </c>
      <c r="B5" s="44" t="s">
        <v>36</v>
      </c>
      <c r="C5" s="42">
        <f t="shared" ref="C5:C14" ca="1" si="0">SUMIFS(OFFSET(REL_D,,MATCH(C$2,IND,0)-1),REL_D,$B$3,OrgID,$B5)</f>
        <v>1593</v>
      </c>
      <c r="D5" s="47">
        <f t="shared" ref="D5:D13" ca="1" si="1">C5-SUMIFS(OFFSET(REL_D,,MATCH(D$2,IND,0)-1),REL_D,$B$3,OrgID,$B5)</f>
        <v>623</v>
      </c>
      <c r="E5" s="40">
        <f t="shared" ref="E5:E13" ca="1" si="2">IFERROR(D5/C5,"-")</f>
        <v>0.39108600125549275</v>
      </c>
      <c r="F5" s="43">
        <f t="shared" ref="F5:N7" ca="1" si="3">SUMIFS(OFFSET(REL_D,,MATCH(F$2,IND,0)-1),REL_D,$B$3,OrgID,$B5)</f>
        <v>970</v>
      </c>
      <c r="G5" s="42">
        <f t="shared" ca="1" si="3"/>
        <v>3</v>
      </c>
      <c r="H5" s="39">
        <f t="shared" ca="1" si="3"/>
        <v>2</v>
      </c>
      <c r="I5" s="39">
        <f t="shared" ca="1" si="3"/>
        <v>35</v>
      </c>
      <c r="J5" s="39">
        <f t="shared" ca="1" si="3"/>
        <v>35</v>
      </c>
      <c r="K5" s="39">
        <f t="shared" ca="1" si="3"/>
        <v>55</v>
      </c>
      <c r="L5" s="39">
        <f t="shared" ca="1" si="3"/>
        <v>55</v>
      </c>
      <c r="M5" s="39">
        <f t="shared" ca="1" si="3"/>
        <v>30</v>
      </c>
      <c r="N5" s="69">
        <f t="shared" ca="1" si="3"/>
        <v>30</v>
      </c>
    </row>
    <row r="6" spans="1:17">
      <c r="A6" s="68" t="s">
        <v>109</v>
      </c>
      <c r="B6" s="44" t="s">
        <v>110</v>
      </c>
      <c r="C6" s="42">
        <f t="shared" ca="1" si="0"/>
        <v>1385</v>
      </c>
      <c r="D6" s="47">
        <f t="shared" ref="D6" ca="1" si="4">C6-SUMIFS(OFFSET(REL_D,,MATCH(D$2,IND,0)-1),REL_D,$B$3,OrgID,$B6)</f>
        <v>20</v>
      </c>
      <c r="E6" s="40">
        <f t="shared" ref="E6" ca="1" si="5">IFERROR(D6/C6,"-")</f>
        <v>1.444043321299639E-2</v>
      </c>
      <c r="F6" s="43">
        <f t="shared" ca="1" si="3"/>
        <v>1365</v>
      </c>
      <c r="G6" s="42">
        <f ca="1">SUMIFS(OFFSET(REL_D,,MATCH(G$2,IND,0)-1),REL_D,$B$3,OrgID,$B6)</f>
        <v>7</v>
      </c>
      <c r="H6" s="39">
        <f t="shared" ca="1" si="3"/>
        <v>0</v>
      </c>
      <c r="I6" s="39">
        <f t="shared" ca="1" si="3"/>
        <v>87</v>
      </c>
      <c r="J6" s="39">
        <f t="shared" ca="1" si="3"/>
        <v>35</v>
      </c>
      <c r="K6" s="39">
        <f t="shared" ca="1" si="3"/>
        <v>52</v>
      </c>
      <c r="L6" s="39">
        <f t="shared" ca="1" si="3"/>
        <v>48</v>
      </c>
      <c r="M6" s="39">
        <f t="shared" ca="1" si="3"/>
        <v>48</v>
      </c>
      <c r="N6" s="69">
        <f t="shared" ca="1" si="3"/>
        <v>46</v>
      </c>
    </row>
    <row r="7" spans="1:17">
      <c r="A7" s="68" t="s">
        <v>111</v>
      </c>
      <c r="B7" s="44" t="s">
        <v>42</v>
      </c>
      <c r="C7" s="42">
        <f t="shared" ca="1" si="0"/>
        <v>2114</v>
      </c>
      <c r="D7" s="47">
        <f ca="1">C7-SUMIFS(OFFSET(REL_D,,MATCH(D$2,IND,0)-1),REL_D,$B$3,OrgID,$B7)</f>
        <v>762</v>
      </c>
      <c r="E7" s="40">
        <f t="shared" ca="1" si="2"/>
        <v>0.36045411542100286</v>
      </c>
      <c r="F7" s="43">
        <f t="shared" ca="1" si="3"/>
        <v>1352</v>
      </c>
      <c r="G7" s="42">
        <f t="shared" ca="1" si="3"/>
        <v>0</v>
      </c>
      <c r="H7" s="39">
        <f t="shared" ca="1" si="3"/>
        <v>0</v>
      </c>
      <c r="I7" s="39">
        <f t="shared" ca="1" si="3"/>
        <v>3</v>
      </c>
      <c r="J7" s="39">
        <f t="shared" ca="1" si="3"/>
        <v>2</v>
      </c>
      <c r="K7" s="39">
        <f t="shared" ca="1" si="3"/>
        <v>1</v>
      </c>
      <c r="L7" s="39">
        <f t="shared" ca="1" si="3"/>
        <v>1</v>
      </c>
      <c r="M7" s="39">
        <f t="shared" ca="1" si="3"/>
        <v>1</v>
      </c>
      <c r="N7" s="69">
        <f t="shared" ca="1" si="3"/>
        <v>11</v>
      </c>
    </row>
    <row r="8" spans="1:17">
      <c r="A8" s="68" t="s">
        <v>112</v>
      </c>
      <c r="B8" s="44" t="s">
        <v>113</v>
      </c>
      <c r="C8" s="42">
        <f t="shared" ca="1" si="0"/>
        <v>1496</v>
      </c>
      <c r="D8" s="47">
        <f t="shared" ca="1" si="1"/>
        <v>29</v>
      </c>
      <c r="E8" s="40">
        <f t="shared" ca="1" si="2"/>
        <v>1.9385026737967916E-2</v>
      </c>
      <c r="F8" s="43">
        <f t="shared" ref="F8:N12" ca="1" si="6">SUMIFS(OFFSET(REL_D,,MATCH(F$2,IND,0)-1),REL_D,$B$3,OrgID,$B8)</f>
        <v>1467</v>
      </c>
      <c r="G8" s="42">
        <f t="shared" ca="1" si="6"/>
        <v>3</v>
      </c>
      <c r="H8" s="39">
        <f t="shared" ca="1" si="6"/>
        <v>0</v>
      </c>
      <c r="I8" s="39">
        <f t="shared" ca="1" si="6"/>
        <v>39</v>
      </c>
      <c r="J8" s="39">
        <f t="shared" ca="1" si="6"/>
        <v>12</v>
      </c>
      <c r="K8" s="39">
        <f t="shared" ca="1" si="6"/>
        <v>8</v>
      </c>
      <c r="L8" s="39">
        <f t="shared" ca="1" si="6"/>
        <v>8</v>
      </c>
      <c r="M8" s="39">
        <f t="shared" ca="1" si="6"/>
        <v>51</v>
      </c>
      <c r="N8" s="69">
        <f t="shared" ca="1" si="6"/>
        <v>48</v>
      </c>
    </row>
    <row r="9" spans="1:17">
      <c r="A9" s="68" t="s">
        <v>114</v>
      </c>
      <c r="B9" s="44" t="s">
        <v>90</v>
      </c>
      <c r="C9" s="42">
        <f t="shared" ca="1" si="0"/>
        <v>2806</v>
      </c>
      <c r="D9" s="47">
        <f t="shared" ref="D9" ca="1" si="7">C9-SUMIFS(OFFSET(REL_D,,MATCH(D$2,IND,0)-1),REL_D,$B$3,OrgID,$B9)</f>
        <v>958</v>
      </c>
      <c r="E9" s="40">
        <f t="shared" ref="E9" ca="1" si="8">IFERROR(D9/C9,"-")</f>
        <v>0.3414112615823236</v>
      </c>
      <c r="F9" s="43">
        <f t="shared" ca="1" si="6"/>
        <v>1848</v>
      </c>
      <c r="G9" s="42">
        <f t="shared" ca="1" si="6"/>
        <v>0</v>
      </c>
      <c r="H9" s="39">
        <f t="shared" ca="1" si="6"/>
        <v>0</v>
      </c>
      <c r="I9" s="39">
        <f t="shared" ca="1" si="6"/>
        <v>14</v>
      </c>
      <c r="J9" s="39">
        <f t="shared" ca="1" si="6"/>
        <v>6</v>
      </c>
      <c r="K9" s="39">
        <f t="shared" ca="1" si="6"/>
        <v>6</v>
      </c>
      <c r="L9" s="39">
        <f t="shared" ca="1" si="6"/>
        <v>0</v>
      </c>
      <c r="M9" s="39">
        <f t="shared" ca="1" si="6"/>
        <v>36</v>
      </c>
      <c r="N9" s="69">
        <f t="shared" ca="1" si="6"/>
        <v>11</v>
      </c>
    </row>
    <row r="10" spans="1:17">
      <c r="A10" s="68" t="s">
        <v>115</v>
      </c>
      <c r="B10" s="44" t="s">
        <v>116</v>
      </c>
      <c r="C10" s="42">
        <f t="shared" ca="1" si="0"/>
        <v>2405</v>
      </c>
      <c r="D10" s="47">
        <f t="shared" ca="1" si="1"/>
        <v>30</v>
      </c>
      <c r="E10" s="40">
        <f t="shared" ca="1" si="2"/>
        <v>1.2474012474012475E-2</v>
      </c>
      <c r="F10" s="43">
        <f t="shared" ca="1" si="6"/>
        <v>2375</v>
      </c>
      <c r="G10" s="42">
        <f t="shared" ca="1" si="6"/>
        <v>3</v>
      </c>
      <c r="H10" s="39">
        <f t="shared" ca="1" si="6"/>
        <v>0</v>
      </c>
      <c r="I10" s="39">
        <f t="shared" ca="1" si="6"/>
        <v>78</v>
      </c>
      <c r="J10" s="39">
        <f t="shared" ca="1" si="6"/>
        <v>18</v>
      </c>
      <c r="K10" s="39">
        <f t="shared" ca="1" si="6"/>
        <v>16</v>
      </c>
      <c r="L10" s="39">
        <f t="shared" ca="1" si="6"/>
        <v>13</v>
      </c>
      <c r="M10" s="39">
        <f t="shared" ca="1" si="6"/>
        <v>40</v>
      </c>
      <c r="N10" s="69">
        <f t="shared" ca="1" si="6"/>
        <v>38</v>
      </c>
    </row>
    <row r="11" spans="1:17">
      <c r="A11" s="68" t="s">
        <v>85</v>
      </c>
      <c r="B11" s="44" t="s">
        <v>86</v>
      </c>
      <c r="C11" s="42"/>
      <c r="D11" s="47"/>
      <c r="E11" s="40"/>
      <c r="F11" s="43"/>
      <c r="G11" s="42">
        <f t="shared" ca="1" si="6"/>
        <v>0</v>
      </c>
      <c r="H11" s="39">
        <f t="shared" ca="1" si="6"/>
        <v>0</v>
      </c>
      <c r="I11" s="39">
        <f t="shared" ca="1" si="6"/>
        <v>23</v>
      </c>
      <c r="J11" s="39">
        <f t="shared" ca="1" si="6"/>
        <v>22</v>
      </c>
      <c r="K11" s="39">
        <f t="shared" ca="1" si="6"/>
        <v>18</v>
      </c>
      <c r="L11" s="39">
        <f t="shared" ca="1" si="6"/>
        <v>18</v>
      </c>
      <c r="M11" s="39">
        <f t="shared" ca="1" si="6"/>
        <v>31</v>
      </c>
      <c r="N11" s="69">
        <f t="shared" ca="1" si="6"/>
        <v>30</v>
      </c>
    </row>
    <row r="12" spans="1:17">
      <c r="A12" s="68" t="s">
        <v>117</v>
      </c>
      <c r="B12" s="44" t="s">
        <v>118</v>
      </c>
      <c r="C12" s="42"/>
      <c r="D12" s="47"/>
      <c r="E12" s="40"/>
      <c r="F12" s="43"/>
      <c r="G12" s="42">
        <f ca="1">SUMIFS(OFFSET(REL_D,,MATCH(G$2,IND,0)-1),REL_D,$B$3,OrgID,$B12)</f>
        <v>1</v>
      </c>
      <c r="H12" s="39">
        <f t="shared" ca="1" si="6"/>
        <v>0</v>
      </c>
      <c r="I12" s="39">
        <f t="shared" ca="1" si="6"/>
        <v>356</v>
      </c>
      <c r="J12" s="39">
        <f t="shared" ca="1" si="6"/>
        <v>36</v>
      </c>
      <c r="K12" s="39">
        <f t="shared" ca="1" si="6"/>
        <v>15</v>
      </c>
      <c r="L12" s="39">
        <f t="shared" ca="1" si="6"/>
        <v>15</v>
      </c>
      <c r="M12" s="39">
        <f t="shared" ca="1" si="6"/>
        <v>35</v>
      </c>
      <c r="N12" s="69">
        <f t="shared" ca="1" si="6"/>
        <v>34</v>
      </c>
    </row>
    <row r="13" spans="1:17">
      <c r="A13" s="68" t="s">
        <v>91</v>
      </c>
      <c r="B13" s="44" t="s">
        <v>92</v>
      </c>
      <c r="C13" s="42">
        <f t="shared" ca="1" si="0"/>
        <v>2858</v>
      </c>
      <c r="D13" s="47">
        <f t="shared" ca="1" si="1"/>
        <v>906</v>
      </c>
      <c r="E13" s="40">
        <f t="shared" ca="1" si="2"/>
        <v>0.31700489853044089</v>
      </c>
      <c r="F13" s="43">
        <f t="shared" ref="F13:N14" ca="1" si="9">SUMIFS(OFFSET(REL_D,,MATCH(F$2,IND,0)-1),REL_D,$B$3,OrgID,$B13)</f>
        <v>1952</v>
      </c>
      <c r="G13" s="42">
        <f t="shared" ca="1" si="9"/>
        <v>3</v>
      </c>
      <c r="H13" s="39">
        <f t="shared" ca="1" si="9"/>
        <v>0</v>
      </c>
      <c r="I13" s="39">
        <f t="shared" ca="1" si="9"/>
        <v>21</v>
      </c>
      <c r="J13" s="39">
        <f t="shared" ca="1" si="9"/>
        <v>21</v>
      </c>
      <c r="K13" s="39">
        <f t="shared" ca="1" si="9"/>
        <v>19</v>
      </c>
      <c r="L13" s="39">
        <f t="shared" ca="1" si="9"/>
        <v>19</v>
      </c>
      <c r="M13" s="39">
        <f t="shared" ca="1" si="9"/>
        <v>46</v>
      </c>
      <c r="N13" s="69">
        <f t="shared" ca="1" si="9"/>
        <v>46</v>
      </c>
    </row>
    <row r="14" spans="1:17">
      <c r="A14" s="68" t="s">
        <v>119</v>
      </c>
      <c r="B14" s="44" t="s">
        <v>120</v>
      </c>
      <c r="C14" s="42">
        <f t="shared" ca="1" si="0"/>
        <v>1718</v>
      </c>
      <c r="D14" s="47">
        <f t="shared" ref="D14" ca="1" si="10">C14-SUMIFS(OFFSET(REL_D,,MATCH(D$2,IND,0)-1),REL_D,$B$3,OrgID,$B14)</f>
        <v>27</v>
      </c>
      <c r="E14" s="40">
        <f t="shared" ref="E14" ca="1" si="11">IFERROR(D14/C14,"-")</f>
        <v>1.5715948777648429E-2</v>
      </c>
      <c r="F14" s="43">
        <f t="shared" ca="1" si="9"/>
        <v>1691</v>
      </c>
      <c r="G14" s="42">
        <f t="shared" ca="1" si="9"/>
        <v>5</v>
      </c>
      <c r="H14" s="39">
        <f t="shared" ca="1" si="9"/>
        <v>0</v>
      </c>
      <c r="I14" s="39">
        <f t="shared" ca="1" si="9"/>
        <v>192</v>
      </c>
      <c r="J14" s="39">
        <f t="shared" ca="1" si="9"/>
        <v>39</v>
      </c>
      <c r="K14" s="39">
        <f t="shared" ca="1" si="9"/>
        <v>43</v>
      </c>
      <c r="L14" s="39">
        <f t="shared" ca="1" si="9"/>
        <v>43</v>
      </c>
      <c r="M14" s="39">
        <f t="shared" ca="1" si="9"/>
        <v>75</v>
      </c>
      <c r="N14" s="69">
        <f t="shared" ca="1" si="9"/>
        <v>70</v>
      </c>
    </row>
    <row r="15" spans="1:17">
      <c r="A15" s="75" t="s">
        <v>107</v>
      </c>
      <c r="B15" s="76"/>
      <c r="C15" s="77">
        <f ca="1">SUM(C5:C14)</f>
        <v>16375</v>
      </c>
      <c r="D15" s="78">
        <f ca="1">SUM(D5:D14)</f>
        <v>3355</v>
      </c>
      <c r="E15" s="79">
        <f t="shared" ref="E15" ca="1" si="12">D15/C15</f>
        <v>0.20488549618320612</v>
      </c>
      <c r="F15" s="80">
        <f t="shared" ref="F15:N15" ca="1" si="13">SUM(F5:F14)</f>
        <v>13020</v>
      </c>
      <c r="G15" s="1">
        <f t="shared" ca="1" si="13"/>
        <v>25</v>
      </c>
      <c r="H15" s="1">
        <f t="shared" ca="1" si="13"/>
        <v>2</v>
      </c>
      <c r="I15" s="1">
        <f t="shared" ca="1" si="13"/>
        <v>848</v>
      </c>
      <c r="J15" s="1">
        <f t="shared" ca="1" si="13"/>
        <v>226</v>
      </c>
      <c r="K15" s="1">
        <f t="shared" ca="1" si="13"/>
        <v>233</v>
      </c>
      <c r="L15" s="1">
        <f t="shared" ca="1" si="13"/>
        <v>220</v>
      </c>
      <c r="M15" s="1">
        <f t="shared" ca="1" si="13"/>
        <v>393</v>
      </c>
      <c r="N15" s="70">
        <f t="shared" ca="1" si="13"/>
        <v>364</v>
      </c>
    </row>
    <row r="16" spans="1:17">
      <c r="A16" s="110" t="s">
        <v>108</v>
      </c>
      <c r="B16" s="111">
        <f>B3</f>
        <v>44652</v>
      </c>
      <c r="C16" s="71"/>
      <c r="D16" s="112"/>
      <c r="E16" s="71"/>
      <c r="F16" s="71"/>
      <c r="G16" s="71"/>
      <c r="H16" s="71"/>
      <c r="I16" s="71"/>
      <c r="J16" s="71"/>
      <c r="K16" s="71"/>
      <c r="L16" s="71"/>
      <c r="M16" s="71"/>
      <c r="N16" s="72"/>
    </row>
    <row r="17" spans="1:14" ht="26.25">
      <c r="A17" s="94"/>
      <c r="B17" s="92"/>
      <c r="C17" s="92"/>
      <c r="D17" s="92"/>
      <c r="E17" s="93"/>
      <c r="F17" s="93"/>
      <c r="G17" s="71"/>
      <c r="H17" s="71"/>
      <c r="I17" s="71"/>
      <c r="J17" s="71"/>
      <c r="K17" s="71"/>
      <c r="L17" s="71"/>
      <c r="M17" s="71"/>
      <c r="N17" s="72"/>
    </row>
    <row r="18" spans="1:14" ht="16.5" thickBot="1">
      <c r="A18" s="114" t="s">
        <v>121</v>
      </c>
      <c r="B18" s="115"/>
      <c r="C18" s="115"/>
      <c r="D18" s="115"/>
      <c r="E18" s="115"/>
      <c r="F18" s="115"/>
      <c r="G18" s="115"/>
      <c r="H18" s="115"/>
      <c r="I18" s="115"/>
      <c r="J18" s="115"/>
      <c r="K18" s="73"/>
      <c r="L18" s="73"/>
      <c r="M18" s="73"/>
      <c r="N18" s="74"/>
    </row>
    <row r="19" spans="1:14" ht="15.75" thickTop="1"/>
  </sheetData>
  <conditionalFormatting sqref="B15:N15 C3:F4 B5:N5 B13:N13 B10:G12 I10:N12">
    <cfRule type="expression" dxfId="51" priority="10">
      <formula>ISERROR(B3)</formula>
    </cfRule>
  </conditionalFormatting>
  <conditionalFormatting sqref="G4:N4 G3:M3 B3:B4">
    <cfRule type="expression" dxfId="50" priority="14">
      <formula>ISERROR(B3)</formula>
    </cfRule>
  </conditionalFormatting>
  <conditionalFormatting sqref="E15">
    <cfRule type="expression" dxfId="49" priority="13">
      <formula>ISERROR(E15)</formula>
    </cfRule>
  </conditionalFormatting>
  <conditionalFormatting sqref="E15">
    <cfRule type="expression" dxfId="48" priority="12">
      <formula>ISERROR(E15)</formula>
    </cfRule>
  </conditionalFormatting>
  <conditionalFormatting sqref="N3">
    <cfRule type="expression" dxfId="47" priority="11">
      <formula>ISERROR(N3)</formula>
    </cfRule>
  </conditionalFormatting>
  <conditionalFormatting sqref="B7:N7">
    <cfRule type="expression" dxfId="46" priority="8">
      <formula>ISERROR(B7)</formula>
    </cfRule>
  </conditionalFormatting>
  <conditionalFormatting sqref="B8:N8">
    <cfRule type="expression" dxfId="45" priority="7">
      <formula>ISERROR(B8)</formula>
    </cfRule>
  </conditionalFormatting>
  <conditionalFormatting sqref="B6:N6">
    <cfRule type="expression" dxfId="44" priority="4">
      <formula>ISERROR(B6)</formula>
    </cfRule>
  </conditionalFormatting>
  <conditionalFormatting sqref="B14:N14">
    <cfRule type="expression" dxfId="43" priority="1">
      <formula>ISERROR(B14)</formula>
    </cfRule>
  </conditionalFormatting>
  <conditionalFormatting sqref="B9:N9 H10:H12">
    <cfRule type="expression" dxfId="42" priority="3">
      <formula>ISERROR(B9)</formula>
    </cfRule>
  </conditionalFormatting>
  <dataValidations count="1">
    <dataValidation type="list" allowBlank="1" showInputMessage="1" showErrorMessage="1" sqref="A3" xr:uid="{00000000-0002-0000-0200-000000000000}">
      <formula1>QSelection</formula1>
    </dataValidation>
  </dataValidation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39997558519241921"/>
  </sheetPr>
  <dimension ref="A1:C22"/>
  <sheetViews>
    <sheetView workbookViewId="0">
      <selection activeCell="F27" sqref="F27"/>
    </sheetView>
  </sheetViews>
  <sheetFormatPr defaultRowHeight="15"/>
  <cols>
    <col min="1" max="1" width="39.140625" customWidth="1"/>
    <col min="2" max="2" width="62.85546875" customWidth="1"/>
    <col min="3" max="3" width="10.7109375" style="52" customWidth="1"/>
  </cols>
  <sheetData>
    <row r="1" spans="1:3">
      <c r="A1" s="2" t="s">
        <v>122</v>
      </c>
      <c r="B1" s="6" t="s">
        <v>123</v>
      </c>
    </row>
    <row r="2" spans="1:3">
      <c r="A2" s="1" t="s">
        <v>124</v>
      </c>
      <c r="B2" t="s">
        <v>125</v>
      </c>
    </row>
    <row r="3" spans="1:3">
      <c r="A3" s="48" t="s">
        <v>126</v>
      </c>
      <c r="B3" s="49" t="s">
        <v>127</v>
      </c>
    </row>
    <row r="4" spans="1:3">
      <c r="A4" s="1" t="s">
        <v>128</v>
      </c>
      <c r="B4" t="s">
        <v>129</v>
      </c>
    </row>
    <row r="5" spans="1:3">
      <c r="A5" s="1"/>
      <c r="B5" t="s">
        <v>130</v>
      </c>
      <c r="C5" s="53" t="s">
        <v>1</v>
      </c>
    </row>
    <row r="6" spans="1:3" ht="30">
      <c r="A6" s="1"/>
      <c r="B6" s="3" t="s">
        <v>131</v>
      </c>
    </row>
    <row r="7" spans="1:3">
      <c r="A7" s="1"/>
      <c r="B7" t="s">
        <v>132</v>
      </c>
    </row>
    <row r="8" spans="1:3">
      <c r="A8" s="48"/>
      <c r="B8" s="49" t="s">
        <v>133</v>
      </c>
      <c r="C8" s="53" t="s">
        <v>2</v>
      </c>
    </row>
    <row r="9" spans="1:3" ht="30">
      <c r="A9" s="50" t="s">
        <v>134</v>
      </c>
      <c r="B9" s="51" t="s">
        <v>135</v>
      </c>
    </row>
    <row r="10" spans="1:3">
      <c r="A10" s="1" t="s">
        <v>136</v>
      </c>
      <c r="B10" t="s">
        <v>137</v>
      </c>
    </row>
    <row r="11" spans="1:3">
      <c r="A11" s="1"/>
      <c r="B11" s="5" t="s">
        <v>138</v>
      </c>
    </row>
    <row r="12" spans="1:3">
      <c r="A12" s="1"/>
      <c r="B12" t="s">
        <v>139</v>
      </c>
    </row>
    <row r="13" spans="1:3" ht="45">
      <c r="A13" s="1"/>
      <c r="B13" s="3" t="s">
        <v>140</v>
      </c>
    </row>
    <row r="14" spans="1:3">
      <c r="A14" s="1"/>
      <c r="B14" t="s">
        <v>141</v>
      </c>
    </row>
    <row r="15" spans="1:3">
      <c r="A15" s="48"/>
      <c r="B15" s="49" t="s">
        <v>142</v>
      </c>
      <c r="C15" s="54" t="s">
        <v>143</v>
      </c>
    </row>
    <row r="16" spans="1:3">
      <c r="A16" s="48" t="s">
        <v>144</v>
      </c>
      <c r="B16" s="51" t="s">
        <v>145</v>
      </c>
    </row>
    <row r="17" spans="1:3">
      <c r="A17" s="1" t="s">
        <v>146</v>
      </c>
      <c r="B17" t="s">
        <v>137</v>
      </c>
    </row>
    <row r="18" spans="1:3">
      <c r="A18" s="1"/>
      <c r="B18" s="5" t="s">
        <v>147</v>
      </c>
    </row>
    <row r="19" spans="1:3">
      <c r="A19" s="1"/>
      <c r="B19" t="s">
        <v>148</v>
      </c>
    </row>
    <row r="20" spans="1:3" ht="45">
      <c r="A20" s="1"/>
      <c r="B20" s="3" t="s">
        <v>149</v>
      </c>
    </row>
    <row r="21" spans="1:3">
      <c r="A21" s="1"/>
      <c r="B21" t="s">
        <v>150</v>
      </c>
    </row>
    <row r="22" spans="1:3">
      <c r="A22" s="48"/>
      <c r="B22" s="49" t="s">
        <v>142</v>
      </c>
      <c r="C22" s="54" t="s">
        <v>151</v>
      </c>
    </row>
  </sheetData>
  <conditionalFormatting sqref="A1:B1">
    <cfRule type="expression" dxfId="41" priority="1">
      <formula>ISERROR(A1)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F11"/>
  <sheetViews>
    <sheetView workbookViewId="0">
      <selection activeCell="L21" sqref="L21"/>
    </sheetView>
  </sheetViews>
  <sheetFormatPr defaultRowHeight="15"/>
  <cols>
    <col min="1" max="1" width="13.7109375" customWidth="1"/>
    <col min="2" max="2" width="11.5703125" customWidth="1"/>
    <col min="3" max="3" width="24.85546875" customWidth="1"/>
    <col min="5" max="5" width="26" customWidth="1"/>
    <col min="6" max="6" width="12.28515625" customWidth="1"/>
    <col min="7" max="7" width="13.7109375" customWidth="1"/>
    <col min="8" max="8" width="16.140625" customWidth="1"/>
  </cols>
  <sheetData>
    <row r="1" spans="1:6" ht="15.75" thickBot="1">
      <c r="A1" s="25"/>
      <c r="B1" s="25" t="s">
        <v>152</v>
      </c>
      <c r="C1" s="26" t="s">
        <v>153</v>
      </c>
      <c r="E1" t="s">
        <v>154</v>
      </c>
      <c r="F1" t="s">
        <v>155</v>
      </c>
    </row>
    <row r="2" spans="1:6" ht="15.75" thickBot="1">
      <c r="A2" s="25" t="s">
        <v>156</v>
      </c>
      <c r="B2" s="12"/>
      <c r="C2" s="28"/>
      <c r="E2" t="s">
        <v>157</v>
      </c>
      <c r="F2" s="24">
        <v>44378</v>
      </c>
    </row>
    <row r="3" spans="1:6" ht="15.75" thickBot="1">
      <c r="A3" s="27" t="s">
        <v>158</v>
      </c>
      <c r="B3" s="12" t="s">
        <v>159</v>
      </c>
      <c r="C3" s="28"/>
      <c r="E3" t="s">
        <v>160</v>
      </c>
      <c r="F3" s="24">
        <v>44470</v>
      </c>
    </row>
    <row r="4" spans="1:6" ht="15.75" thickBot="1">
      <c r="A4" s="27" t="s">
        <v>161</v>
      </c>
      <c r="B4" s="29">
        <v>1</v>
      </c>
      <c r="C4" s="28"/>
      <c r="D4" s="30"/>
      <c r="E4" t="s">
        <v>162</v>
      </c>
      <c r="F4" s="24">
        <v>44562</v>
      </c>
    </row>
    <row r="5" spans="1:6">
      <c r="A5" s="31" t="s">
        <v>152</v>
      </c>
      <c r="B5" s="32" t="str">
        <f>IF(B2="N","BLANK!","'"&amp;B3&amp;"'!")</f>
        <v>'DATA'!</v>
      </c>
      <c r="C5" s="33" t="str">
        <f ca="1">$B$5&amp;ADDRESS(1,1)&amp;":"&amp;ADDRESS(B6,B7)</f>
        <v>'DATA'!$A$1:$AA$225</v>
      </c>
      <c r="E5" t="s">
        <v>27</v>
      </c>
      <c r="F5" s="24">
        <v>44652</v>
      </c>
    </row>
    <row r="6" spans="1:6">
      <c r="A6" s="31" t="s">
        <v>163</v>
      </c>
      <c r="B6" s="30">
        <f t="array" aca="1" ref="B6" ca="1">MAX(IF(NOT(ISBLANK(INDIRECT(B5&amp;"A1:A500"))),ROW($A$1:$A$500),0))</f>
        <v>225</v>
      </c>
      <c r="C6" s="28"/>
      <c r="D6" s="30"/>
    </row>
    <row r="7" spans="1:6" ht="15.75" thickBot="1">
      <c r="A7" s="31" t="s">
        <v>164</v>
      </c>
      <c r="B7" s="30">
        <f ca="1">COUNTA(INDIRECT(B5&amp;B4&amp;":"&amp;B4))</f>
        <v>27</v>
      </c>
      <c r="C7" s="28"/>
      <c r="D7" s="30"/>
    </row>
    <row r="8" spans="1:6" ht="15.75" thickBot="1">
      <c r="A8" s="34" t="s">
        <v>165</v>
      </c>
      <c r="B8" s="29">
        <v>10</v>
      </c>
      <c r="C8" s="33" t="str">
        <f ca="1">$B$5&amp;ADDRESS(1,B8)&amp;":"&amp;ADDRESS($B$6,B8)</f>
        <v>'DATA'!$J$1:$J$225</v>
      </c>
    </row>
    <row r="9" spans="1:6" ht="15.75" thickBot="1">
      <c r="A9" s="35" t="s">
        <v>155</v>
      </c>
      <c r="B9" s="29">
        <v>1</v>
      </c>
      <c r="C9" s="33" t="str">
        <f ca="1">$B$5&amp;ADDRESS(1,B9)&amp;":"&amp;ADDRESS($B$6,B9)</f>
        <v>'DATA'!$A$1:$A$225</v>
      </c>
    </row>
    <row r="10" spans="1:6">
      <c r="A10" s="34" t="s">
        <v>166</v>
      </c>
      <c r="B10" s="32" t="s">
        <v>167</v>
      </c>
      <c r="C10" s="33" t="str">
        <f ca="1">$B$5&amp;ADDRESS(B4,1)&amp;":"&amp;ADDRESS(B4,B7)</f>
        <v>'DATA'!$A$1:$AA$1</v>
      </c>
    </row>
    <row r="11" spans="1:6">
      <c r="A11" s="123" t="s">
        <v>168</v>
      </c>
      <c r="B11" s="32">
        <v>2</v>
      </c>
      <c r="C11" s="33" t="str">
        <f ca="1">$B$5&amp;ADDRESS(1,B11)&amp;":"&amp;ADDRESS($B$6,B11)</f>
        <v>'DATA'!$B$1:$B$225</v>
      </c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AA233"/>
  <sheetViews>
    <sheetView topLeftCell="A153" zoomScale="80" zoomScaleNormal="80" workbookViewId="0">
      <selection activeCell="O138" sqref="O138"/>
    </sheetView>
  </sheetViews>
  <sheetFormatPr defaultRowHeight="15"/>
  <cols>
    <col min="1" max="2" width="11.85546875" style="24" customWidth="1"/>
    <col min="3" max="3" width="17.7109375" customWidth="1"/>
    <col min="4" max="4" width="2.7109375" customWidth="1"/>
    <col min="5" max="5" width="18.140625" customWidth="1"/>
    <col min="6" max="6" width="3" customWidth="1"/>
    <col min="7" max="8" width="13.7109375" customWidth="1"/>
    <col min="9" max="9" width="6.5703125" customWidth="1"/>
    <col min="12" max="17" width="12.7109375" customWidth="1"/>
    <col min="18" max="19" width="12.7109375" style="178" customWidth="1"/>
    <col min="20" max="22" width="12.7109375" customWidth="1"/>
    <col min="23" max="24" width="12.7109375" style="178" customWidth="1"/>
    <col min="25" max="26" width="12.7109375" customWidth="1"/>
  </cols>
  <sheetData>
    <row r="1" spans="1:27" ht="15.75" thickBot="1">
      <c r="A1" s="9" t="s">
        <v>155</v>
      </c>
      <c r="B1" s="9" t="s">
        <v>168</v>
      </c>
      <c r="C1" s="10" t="s">
        <v>169</v>
      </c>
      <c r="D1" s="10" t="s">
        <v>170</v>
      </c>
      <c r="E1" s="11" t="s">
        <v>171</v>
      </c>
      <c r="F1" s="10" t="s">
        <v>170</v>
      </c>
      <c r="G1" s="10" t="s">
        <v>170</v>
      </c>
      <c r="H1" s="10" t="s">
        <v>172</v>
      </c>
      <c r="I1" s="10" t="s">
        <v>170</v>
      </c>
      <c r="J1" s="4" t="s">
        <v>165</v>
      </c>
      <c r="K1" s="4" t="s">
        <v>166</v>
      </c>
      <c r="L1" s="56" t="s">
        <v>173</v>
      </c>
      <c r="M1" s="56" t="s">
        <v>174</v>
      </c>
      <c r="N1" s="56" t="s">
        <v>175</v>
      </c>
      <c r="O1" s="56" t="s">
        <v>1</v>
      </c>
      <c r="P1" s="56" t="s">
        <v>3</v>
      </c>
      <c r="Q1" s="56" t="s">
        <v>5</v>
      </c>
      <c r="R1" s="187" t="s">
        <v>7</v>
      </c>
      <c r="S1" s="187" t="s">
        <v>9</v>
      </c>
      <c r="T1" s="56" t="s">
        <v>176</v>
      </c>
      <c r="U1" s="56" t="s">
        <v>4</v>
      </c>
      <c r="V1" s="56" t="s">
        <v>6</v>
      </c>
      <c r="W1" s="187" t="s">
        <v>8</v>
      </c>
      <c r="X1" s="187" t="s">
        <v>10</v>
      </c>
      <c r="Y1" s="56" t="s">
        <v>177</v>
      </c>
      <c r="Z1" s="56" t="s">
        <v>2</v>
      </c>
      <c r="AA1" t="s">
        <v>178</v>
      </c>
    </row>
    <row r="2" spans="1:27" ht="15.75" thickBot="1">
      <c r="A2" s="13"/>
      <c r="B2" s="13"/>
      <c r="C2" s="14"/>
      <c r="D2" s="14"/>
      <c r="E2" s="15" t="s">
        <v>179</v>
      </c>
      <c r="F2" s="14"/>
      <c r="G2" s="12" t="s">
        <v>180</v>
      </c>
      <c r="H2" s="12" t="s">
        <v>181</v>
      </c>
      <c r="I2" s="14"/>
      <c r="J2" s="14"/>
      <c r="K2" s="14" t="s">
        <v>182</v>
      </c>
      <c r="L2" s="16" t="str">
        <f>TRIM(MID(L4,2,FIND($H$2,L4)-2))</f>
        <v>SDLR01a</v>
      </c>
      <c r="M2" s="16" t="str">
        <f t="shared" ref="M2:AA2" si="0">TRIM(MID(M4,2,FIND($H$2,M4)-2))</f>
        <v>SDLR01</v>
      </c>
      <c r="N2" s="16" t="str">
        <f t="shared" si="0"/>
        <v>SDLR02</v>
      </c>
      <c r="O2" s="16" t="str">
        <f t="shared" si="0"/>
        <v>SDLR03</v>
      </c>
      <c r="P2" s="16" t="str">
        <f t="shared" si="0"/>
        <v>SDLR01-Q1</v>
      </c>
      <c r="Q2" s="16" t="str">
        <f t="shared" si="0"/>
        <v>SDLR01-Q2</v>
      </c>
      <c r="R2" s="188" t="str">
        <f t="shared" si="0"/>
        <v>SDLR01-Q3</v>
      </c>
      <c r="S2" s="188" t="str">
        <f t="shared" si="0"/>
        <v>SDLR01-Q4</v>
      </c>
      <c r="T2" s="16" t="str">
        <f t="shared" si="0"/>
        <v>SDLR02a</v>
      </c>
      <c r="U2" s="16" t="str">
        <f t="shared" si="0"/>
        <v>SDLR02-Q1</v>
      </c>
      <c r="V2" s="16" t="str">
        <f t="shared" si="0"/>
        <v>SDLR02-Q2</v>
      </c>
      <c r="W2" s="188" t="str">
        <f t="shared" si="0"/>
        <v>SDLR02-Q3</v>
      </c>
      <c r="X2" s="188" t="str">
        <f t="shared" si="0"/>
        <v>SDLR02-Q4</v>
      </c>
      <c r="Y2" s="16" t="str">
        <f t="shared" si="0"/>
        <v>SDLR03a</v>
      </c>
      <c r="Z2" s="16" t="str">
        <f t="shared" si="0"/>
        <v>SDLR03TEP</v>
      </c>
      <c r="AA2" s="16" t="str">
        <f t="shared" si="0"/>
        <v>00-00</v>
      </c>
    </row>
    <row r="3" spans="1:27" s="22" customFormat="1" ht="76.5" customHeight="1" thickBot="1">
      <c r="A3" s="17"/>
      <c r="B3" s="122"/>
      <c r="C3" s="18"/>
      <c r="D3" s="19"/>
      <c r="E3" s="19"/>
      <c r="F3" s="18"/>
      <c r="G3" s="20" t="s">
        <v>183</v>
      </c>
      <c r="H3" s="18"/>
      <c r="I3" s="18"/>
      <c r="J3" s="18">
        <f>COUNTIF(L4,"*"&amp;{":","]"}&amp;"*")</f>
        <v>0</v>
      </c>
      <c r="K3" s="18" t="s">
        <v>184</v>
      </c>
      <c r="L3" s="21" t="str">
        <f t="shared" ref="L3:AA3" si="1">TRIM(MID(L4,FIND($H$2,L4)+2,LEN(L4)))</f>
        <v>Excluding ineligible for NHS Health Check (SDLR)</v>
      </c>
      <c r="M3" s="21" t="str">
        <f t="shared" si="1"/>
        <v>NHS Health Checks offered 2021-2022</v>
      </c>
      <c r="N3" s="21" t="str">
        <f t="shared" si="1"/>
        <v>NHS Health Checks done 2021-2022</v>
      </c>
      <c r="O3" s="21" t="str">
        <f t="shared" si="1"/>
        <v>Current Aged 40-74yrs</v>
      </c>
      <c r="P3" s="21" t="str">
        <f t="shared" si="1"/>
        <v>NHS Health Checks offered</v>
      </c>
      <c r="Q3" s="21" t="str">
        <f t="shared" si="1"/>
        <v>NHS Health Checks offered</v>
      </c>
      <c r="R3" s="189" t="str">
        <f t="shared" si="1"/>
        <v>NHS Health Checks offered</v>
      </c>
      <c r="S3" s="189" t="str">
        <f t="shared" si="1"/>
        <v>NHS Health Checks offered</v>
      </c>
      <c r="T3" s="21" t="str">
        <f t="shared" si="1"/>
        <v>Excluding ineligible for NHS Health Check (SDLR)</v>
      </c>
      <c r="U3" s="21" t="str">
        <f t="shared" si="1"/>
        <v>NHS Health Checks done</v>
      </c>
      <c r="V3" s="21" t="str">
        <f t="shared" si="1"/>
        <v>NHS Health Checks done</v>
      </c>
      <c r="W3" s="189" t="str">
        <f t="shared" si="1"/>
        <v>NHS Health Checks done</v>
      </c>
      <c r="X3" s="189" t="str">
        <f t="shared" si="1"/>
        <v>NHS Health Checks done</v>
      </c>
      <c r="Y3" s="21" t="str">
        <f t="shared" si="1"/>
        <v>Excl DM, IHD, Stroke/TIA, HyperT, PAD, FH, CKD, AF, HF,Statins</v>
      </c>
      <c r="Z3" s="21" t="str">
        <f t="shared" si="1"/>
        <v>current eligible TEP</v>
      </c>
      <c r="AA3" s="21" t="str">
        <f t="shared" si="1"/>
        <v>Listsize</v>
      </c>
    </row>
    <row r="4" spans="1:27">
      <c r="A4" s="23">
        <v>44378</v>
      </c>
      <c r="C4" t="s">
        <v>185</v>
      </c>
      <c r="E4" t="s">
        <v>186</v>
      </c>
      <c r="G4" t="s">
        <v>187</v>
      </c>
      <c r="H4">
        <v>517502</v>
      </c>
      <c r="K4" t="s">
        <v>188</v>
      </c>
      <c r="L4" t="s">
        <v>189</v>
      </c>
      <c r="M4" t="s">
        <v>190</v>
      </c>
      <c r="N4" t="s">
        <v>191</v>
      </c>
      <c r="O4" t="s">
        <v>192</v>
      </c>
      <c r="P4" t="s">
        <v>193</v>
      </c>
      <c r="Q4" t="s">
        <v>194</v>
      </c>
      <c r="R4" s="178" t="s">
        <v>195</v>
      </c>
      <c r="S4" s="178" t="s">
        <v>196</v>
      </c>
      <c r="T4" t="s">
        <v>197</v>
      </c>
      <c r="U4" t="s">
        <v>198</v>
      </c>
      <c r="V4" t="s">
        <v>199</v>
      </c>
      <c r="W4" s="178" t="s">
        <v>200</v>
      </c>
      <c r="X4" s="178" t="s">
        <v>201</v>
      </c>
      <c r="Y4" t="s">
        <v>202</v>
      </c>
      <c r="Z4" t="s">
        <v>203</v>
      </c>
      <c r="AA4" t="s">
        <v>204</v>
      </c>
    </row>
    <row r="5" spans="1:27">
      <c r="A5" s="23">
        <v>44378</v>
      </c>
      <c r="E5" s="8">
        <v>44383.806944444441</v>
      </c>
      <c r="G5" t="s">
        <v>205</v>
      </c>
      <c r="H5">
        <v>267902</v>
      </c>
      <c r="J5" t="s">
        <v>29</v>
      </c>
    </row>
    <row r="6" spans="1:27">
      <c r="A6" s="23">
        <v>44378</v>
      </c>
      <c r="B6" s="24" t="str">
        <f>VLOOKUP($J6,Sheet2!$A$2:$E$46,5,0)</f>
        <v>WF-6</v>
      </c>
      <c r="E6" t="s">
        <v>206</v>
      </c>
      <c r="G6" t="s">
        <v>207</v>
      </c>
      <c r="H6">
        <v>249600</v>
      </c>
      <c r="J6" t="s">
        <v>80</v>
      </c>
      <c r="L6">
        <v>28</v>
      </c>
      <c r="M6">
        <v>31</v>
      </c>
      <c r="N6">
        <v>29</v>
      </c>
      <c r="O6">
        <v>3367</v>
      </c>
      <c r="P6">
        <v>28</v>
      </c>
      <c r="Q6">
        <v>0</v>
      </c>
      <c r="R6" s="178">
        <v>0</v>
      </c>
      <c r="S6" s="178">
        <v>0</v>
      </c>
      <c r="T6">
        <v>27</v>
      </c>
      <c r="U6">
        <v>27</v>
      </c>
      <c r="V6">
        <v>0</v>
      </c>
      <c r="W6" s="178">
        <v>0</v>
      </c>
      <c r="X6" s="178">
        <v>0</v>
      </c>
      <c r="Y6">
        <v>2266</v>
      </c>
      <c r="Z6">
        <v>2246</v>
      </c>
      <c r="AA6">
        <v>7756</v>
      </c>
    </row>
    <row r="7" spans="1:27">
      <c r="A7" s="23">
        <v>44378</v>
      </c>
      <c r="B7" s="24" t="str">
        <f>VLOOKUP($J7,Sheet2!$A$2:$E$46,5,0)</f>
        <v>WF-1</v>
      </c>
      <c r="E7" s="7">
        <v>44378</v>
      </c>
      <c r="J7" t="s">
        <v>82</v>
      </c>
      <c r="L7">
        <v>12</v>
      </c>
      <c r="M7">
        <v>18</v>
      </c>
      <c r="N7">
        <v>16</v>
      </c>
      <c r="O7">
        <v>3264</v>
      </c>
      <c r="P7">
        <v>12</v>
      </c>
      <c r="Q7">
        <v>0</v>
      </c>
      <c r="R7" s="178">
        <v>0</v>
      </c>
      <c r="S7" s="178">
        <v>0</v>
      </c>
      <c r="T7">
        <v>11</v>
      </c>
      <c r="U7">
        <v>11</v>
      </c>
      <c r="V7">
        <v>0</v>
      </c>
      <c r="W7" s="178">
        <v>0</v>
      </c>
      <c r="X7" s="178">
        <v>0</v>
      </c>
      <c r="Y7">
        <v>2388</v>
      </c>
      <c r="Z7">
        <v>2375</v>
      </c>
      <c r="AA7">
        <v>9318</v>
      </c>
    </row>
    <row r="8" spans="1:27">
      <c r="A8" s="23">
        <v>44378</v>
      </c>
      <c r="B8" s="24" t="str">
        <f>VLOOKUP($J8,Sheet2!$A$2:$E$46,5,0)</f>
        <v>WF-7</v>
      </c>
      <c r="J8" t="s">
        <v>86</v>
      </c>
      <c r="L8">
        <v>0</v>
      </c>
      <c r="M8">
        <v>0</v>
      </c>
      <c r="N8">
        <v>0</v>
      </c>
      <c r="O8">
        <v>2647</v>
      </c>
      <c r="P8">
        <v>0</v>
      </c>
      <c r="Q8">
        <v>0</v>
      </c>
      <c r="R8" s="178">
        <v>0</v>
      </c>
      <c r="S8" s="178">
        <v>0</v>
      </c>
      <c r="T8">
        <v>0</v>
      </c>
      <c r="U8">
        <v>0</v>
      </c>
      <c r="V8">
        <v>0</v>
      </c>
      <c r="W8" s="178">
        <v>0</v>
      </c>
      <c r="X8" s="178">
        <v>0</v>
      </c>
      <c r="Y8">
        <v>1758</v>
      </c>
      <c r="Z8">
        <v>1745</v>
      </c>
      <c r="AA8">
        <v>6686</v>
      </c>
    </row>
    <row r="9" spans="1:27">
      <c r="A9" s="23">
        <v>44378</v>
      </c>
      <c r="B9" s="24" t="str">
        <f>VLOOKUP($J9,Sheet2!$A$2:$E$46,5,0)</f>
        <v>WF-3</v>
      </c>
      <c r="J9" t="s">
        <v>44</v>
      </c>
      <c r="L9">
        <v>3</v>
      </c>
      <c r="M9">
        <v>3</v>
      </c>
      <c r="N9">
        <v>3</v>
      </c>
      <c r="O9">
        <v>3818</v>
      </c>
      <c r="P9">
        <v>3</v>
      </c>
      <c r="Q9">
        <v>0</v>
      </c>
      <c r="R9" s="178">
        <v>0</v>
      </c>
      <c r="S9" s="178">
        <v>0</v>
      </c>
      <c r="T9">
        <v>3</v>
      </c>
      <c r="U9">
        <v>3</v>
      </c>
      <c r="V9">
        <v>0</v>
      </c>
      <c r="W9" s="178">
        <v>0</v>
      </c>
      <c r="X9" s="178">
        <v>0</v>
      </c>
      <c r="Y9">
        <v>2522</v>
      </c>
      <c r="Z9">
        <v>2497</v>
      </c>
      <c r="AA9">
        <v>9612</v>
      </c>
    </row>
    <row r="10" spans="1:27">
      <c r="A10" s="23">
        <v>44378</v>
      </c>
      <c r="B10" s="24" t="str">
        <f>VLOOKUP($J10,Sheet2!$A$2:$E$46,5,0)</f>
        <v>WF-7</v>
      </c>
      <c r="J10" t="s">
        <v>90</v>
      </c>
      <c r="L10">
        <v>0</v>
      </c>
      <c r="M10">
        <v>0</v>
      </c>
      <c r="N10">
        <v>0</v>
      </c>
      <c r="O10">
        <v>2739</v>
      </c>
      <c r="P10">
        <v>0</v>
      </c>
      <c r="Q10">
        <v>0</v>
      </c>
      <c r="R10" s="178">
        <v>0</v>
      </c>
      <c r="S10" s="178">
        <v>0</v>
      </c>
      <c r="T10">
        <v>0</v>
      </c>
      <c r="U10">
        <v>0</v>
      </c>
      <c r="V10">
        <v>0</v>
      </c>
      <c r="W10" s="178">
        <v>0</v>
      </c>
      <c r="X10" s="178">
        <v>0</v>
      </c>
      <c r="Y10">
        <v>1830</v>
      </c>
      <c r="Z10">
        <v>1805</v>
      </c>
      <c r="AA10">
        <v>8106</v>
      </c>
    </row>
    <row r="11" spans="1:27">
      <c r="A11" s="23">
        <v>44378</v>
      </c>
      <c r="B11" s="24" t="str">
        <f>VLOOKUP($J11,Sheet2!$A$2:$E$46,5,0)</f>
        <v>WF-4</v>
      </c>
      <c r="J11" t="s">
        <v>46</v>
      </c>
      <c r="L11">
        <v>0</v>
      </c>
      <c r="M11">
        <v>0</v>
      </c>
      <c r="N11">
        <v>0</v>
      </c>
      <c r="O11">
        <v>6250</v>
      </c>
      <c r="P11">
        <v>0</v>
      </c>
      <c r="Q11">
        <v>0</v>
      </c>
      <c r="R11" s="178">
        <v>0</v>
      </c>
      <c r="S11" s="178">
        <v>0</v>
      </c>
      <c r="T11">
        <v>0</v>
      </c>
      <c r="U11">
        <v>0</v>
      </c>
      <c r="V11">
        <v>0</v>
      </c>
      <c r="W11" s="178">
        <v>0</v>
      </c>
      <c r="X11" s="178">
        <v>0</v>
      </c>
      <c r="Y11">
        <v>4499</v>
      </c>
      <c r="Z11">
        <v>4459</v>
      </c>
      <c r="AA11">
        <v>15453</v>
      </c>
    </row>
    <row r="12" spans="1:27">
      <c r="A12" s="23">
        <v>44378</v>
      </c>
      <c r="B12" s="24" t="str">
        <f>VLOOKUP($J12,Sheet2!$A$2:$E$46,5,0)</f>
        <v>WF-3</v>
      </c>
      <c r="J12" t="s">
        <v>48</v>
      </c>
      <c r="L12">
        <v>4</v>
      </c>
      <c r="M12">
        <v>5</v>
      </c>
      <c r="N12">
        <v>4</v>
      </c>
      <c r="O12">
        <v>4012</v>
      </c>
      <c r="P12">
        <v>4</v>
      </c>
      <c r="Q12">
        <v>0</v>
      </c>
      <c r="R12" s="178">
        <v>0</v>
      </c>
      <c r="S12" s="178">
        <v>0</v>
      </c>
      <c r="T12">
        <v>3</v>
      </c>
      <c r="U12">
        <v>3</v>
      </c>
      <c r="V12">
        <v>0</v>
      </c>
      <c r="W12" s="178">
        <v>0</v>
      </c>
      <c r="X12" s="178">
        <v>0</v>
      </c>
      <c r="Y12">
        <v>2648</v>
      </c>
      <c r="Z12">
        <v>2604</v>
      </c>
      <c r="AA12">
        <v>11570</v>
      </c>
    </row>
    <row r="13" spans="1:27">
      <c r="A13" s="23">
        <v>44378</v>
      </c>
      <c r="B13" s="24" t="str">
        <f>VLOOKUP($J13,Sheet2!$A$2:$E$46,5,0)</f>
        <v>WF-4</v>
      </c>
      <c r="J13" t="s">
        <v>50</v>
      </c>
      <c r="L13">
        <v>81</v>
      </c>
      <c r="M13">
        <v>83</v>
      </c>
      <c r="N13">
        <v>46</v>
      </c>
      <c r="O13">
        <v>3164</v>
      </c>
      <c r="P13">
        <v>81</v>
      </c>
      <c r="Q13">
        <v>0</v>
      </c>
      <c r="R13" s="178">
        <v>0</v>
      </c>
      <c r="S13" s="178">
        <v>0</v>
      </c>
      <c r="T13">
        <v>44</v>
      </c>
      <c r="U13">
        <v>44</v>
      </c>
      <c r="V13">
        <v>0</v>
      </c>
      <c r="W13" s="178">
        <v>0</v>
      </c>
      <c r="X13" s="178">
        <v>0</v>
      </c>
      <c r="Y13">
        <v>2366</v>
      </c>
      <c r="Z13">
        <v>2350</v>
      </c>
      <c r="AA13">
        <v>9905</v>
      </c>
    </row>
    <row r="14" spans="1:27">
      <c r="A14" s="23">
        <v>44378</v>
      </c>
      <c r="B14" s="24" t="str">
        <f>VLOOKUP($J14,Sheet2!$A$2:$E$46,5,0)</f>
        <v>WF-5</v>
      </c>
      <c r="J14" t="s">
        <v>58</v>
      </c>
      <c r="L14">
        <v>19</v>
      </c>
      <c r="M14">
        <v>19</v>
      </c>
      <c r="N14">
        <v>18</v>
      </c>
      <c r="O14">
        <v>856</v>
      </c>
      <c r="P14">
        <v>19</v>
      </c>
      <c r="Q14">
        <v>0</v>
      </c>
      <c r="R14" s="178">
        <v>0</v>
      </c>
      <c r="S14" s="178">
        <v>0</v>
      </c>
      <c r="T14">
        <v>18</v>
      </c>
      <c r="U14">
        <v>18</v>
      </c>
      <c r="V14">
        <v>0</v>
      </c>
      <c r="W14" s="178">
        <v>0</v>
      </c>
      <c r="X14" s="178">
        <v>0</v>
      </c>
      <c r="Y14">
        <v>586</v>
      </c>
      <c r="Z14">
        <v>580</v>
      </c>
      <c r="AA14">
        <v>2015</v>
      </c>
    </row>
    <row r="15" spans="1:27">
      <c r="A15" s="23">
        <v>44378</v>
      </c>
      <c r="B15" s="24" t="str">
        <f>VLOOKUP($J15,Sheet2!$A$2:$E$46,5,0)</f>
        <v>WF-7</v>
      </c>
      <c r="J15" t="s">
        <v>98</v>
      </c>
      <c r="L15">
        <v>181</v>
      </c>
      <c r="M15">
        <v>185</v>
      </c>
      <c r="N15">
        <v>130</v>
      </c>
      <c r="O15">
        <v>5610</v>
      </c>
      <c r="P15">
        <v>180</v>
      </c>
      <c r="Q15">
        <v>0</v>
      </c>
      <c r="R15" s="178">
        <v>0</v>
      </c>
      <c r="S15" s="178">
        <v>0</v>
      </c>
      <c r="T15">
        <v>128</v>
      </c>
      <c r="U15">
        <v>128</v>
      </c>
      <c r="V15">
        <v>0</v>
      </c>
      <c r="W15" s="178">
        <v>0</v>
      </c>
      <c r="X15" s="178">
        <v>0</v>
      </c>
      <c r="Y15">
        <v>3907</v>
      </c>
      <c r="Z15">
        <v>3863</v>
      </c>
      <c r="AA15">
        <v>16369</v>
      </c>
    </row>
    <row r="16" spans="1:27">
      <c r="A16" s="23">
        <v>44378</v>
      </c>
      <c r="B16" s="24" t="str">
        <f>VLOOKUP($J16,Sheet2!$A$2:$E$46,5,0)</f>
        <v>WF-7</v>
      </c>
      <c r="J16" t="s">
        <v>92</v>
      </c>
      <c r="L16">
        <v>0</v>
      </c>
      <c r="M16">
        <v>0</v>
      </c>
      <c r="N16">
        <v>0</v>
      </c>
      <c r="O16">
        <v>2885</v>
      </c>
      <c r="P16">
        <v>0</v>
      </c>
      <c r="Q16">
        <v>0</v>
      </c>
      <c r="R16" s="178">
        <v>0</v>
      </c>
      <c r="S16" s="178">
        <v>0</v>
      </c>
      <c r="T16">
        <v>0</v>
      </c>
      <c r="U16">
        <v>0</v>
      </c>
      <c r="V16">
        <v>0</v>
      </c>
      <c r="W16" s="178">
        <v>0</v>
      </c>
      <c r="X16" s="178">
        <v>0</v>
      </c>
      <c r="Y16">
        <v>1991</v>
      </c>
      <c r="Z16">
        <v>1970</v>
      </c>
      <c r="AA16">
        <v>7325</v>
      </c>
    </row>
    <row r="17" spans="1:27">
      <c r="A17" s="23">
        <v>44378</v>
      </c>
      <c r="B17" s="24" t="str">
        <f>VLOOKUP($J17,Sheet2!$A$2:$E$46,5,0)</f>
        <v>WF-2</v>
      </c>
      <c r="J17" t="s">
        <v>34</v>
      </c>
      <c r="L17">
        <v>1</v>
      </c>
      <c r="M17">
        <v>2</v>
      </c>
      <c r="N17">
        <v>2</v>
      </c>
      <c r="O17">
        <v>3194</v>
      </c>
      <c r="P17">
        <v>1</v>
      </c>
      <c r="Q17">
        <v>0</v>
      </c>
      <c r="R17" s="178">
        <v>0</v>
      </c>
      <c r="S17" s="178">
        <v>0</v>
      </c>
      <c r="T17">
        <v>1</v>
      </c>
      <c r="U17">
        <v>1</v>
      </c>
      <c r="V17">
        <v>0</v>
      </c>
      <c r="W17" s="178">
        <v>0</v>
      </c>
      <c r="X17" s="178">
        <v>0</v>
      </c>
      <c r="Y17">
        <v>2174</v>
      </c>
      <c r="Z17">
        <v>2152</v>
      </c>
      <c r="AA17">
        <v>6911</v>
      </c>
    </row>
    <row r="18" spans="1:27">
      <c r="A18" s="23">
        <v>44378</v>
      </c>
      <c r="B18" s="24" t="str">
        <f>VLOOKUP($J18,Sheet2!$A$2:$E$46,5,0)</f>
        <v>WF-6</v>
      </c>
      <c r="J18" t="s">
        <v>84</v>
      </c>
      <c r="L18">
        <v>0</v>
      </c>
      <c r="M18">
        <v>0</v>
      </c>
      <c r="N18">
        <v>0</v>
      </c>
      <c r="O18">
        <v>2232</v>
      </c>
      <c r="P18">
        <v>0</v>
      </c>
      <c r="Q18">
        <v>0</v>
      </c>
      <c r="R18" s="178">
        <v>0</v>
      </c>
      <c r="S18" s="178">
        <v>0</v>
      </c>
      <c r="T18">
        <v>0</v>
      </c>
      <c r="U18">
        <v>0</v>
      </c>
      <c r="V18">
        <v>0</v>
      </c>
      <c r="W18" s="178">
        <v>0</v>
      </c>
      <c r="X18" s="178">
        <v>0</v>
      </c>
      <c r="Y18">
        <v>1591</v>
      </c>
      <c r="Z18">
        <v>1587</v>
      </c>
      <c r="AA18">
        <v>6159</v>
      </c>
    </row>
    <row r="19" spans="1:27">
      <c r="A19" s="23">
        <v>44378</v>
      </c>
      <c r="B19" s="24" t="str">
        <f>VLOOKUP($J19,Sheet2!$A$2:$E$46,5,0)</f>
        <v>WF-4</v>
      </c>
      <c r="J19" t="s">
        <v>70</v>
      </c>
      <c r="L19">
        <v>0</v>
      </c>
      <c r="M19">
        <v>0</v>
      </c>
      <c r="N19">
        <v>0</v>
      </c>
      <c r="O19">
        <v>1912</v>
      </c>
      <c r="P19">
        <v>0</v>
      </c>
      <c r="Q19">
        <v>0</v>
      </c>
      <c r="R19" s="178">
        <v>0</v>
      </c>
      <c r="S19" s="178">
        <v>0</v>
      </c>
      <c r="T19">
        <v>0</v>
      </c>
      <c r="U19">
        <v>0</v>
      </c>
      <c r="V19">
        <v>0</v>
      </c>
      <c r="W19" s="178">
        <v>0</v>
      </c>
      <c r="X19" s="178">
        <v>0</v>
      </c>
      <c r="Y19">
        <v>1276</v>
      </c>
      <c r="Z19">
        <v>1268</v>
      </c>
      <c r="AA19">
        <v>4855</v>
      </c>
    </row>
    <row r="20" spans="1:27">
      <c r="A20" s="23">
        <v>44378</v>
      </c>
      <c r="B20" s="24" t="str">
        <f>VLOOKUP($J20,Sheet2!$A$2:$E$46,5,0)</f>
        <v>WF-6</v>
      </c>
      <c r="J20" t="s">
        <v>76</v>
      </c>
      <c r="L20">
        <v>310</v>
      </c>
      <c r="M20">
        <v>345</v>
      </c>
      <c r="N20">
        <v>241</v>
      </c>
      <c r="O20">
        <v>5540</v>
      </c>
      <c r="P20">
        <v>310</v>
      </c>
      <c r="Q20">
        <v>0</v>
      </c>
      <c r="R20" s="178">
        <v>0</v>
      </c>
      <c r="S20" s="178">
        <v>0</v>
      </c>
      <c r="T20">
        <v>233</v>
      </c>
      <c r="U20">
        <v>233</v>
      </c>
      <c r="V20">
        <v>0</v>
      </c>
      <c r="W20" s="178">
        <v>0</v>
      </c>
      <c r="X20" s="178">
        <v>0</v>
      </c>
      <c r="Y20">
        <v>4017</v>
      </c>
      <c r="Z20">
        <v>3960</v>
      </c>
      <c r="AA20">
        <v>14897</v>
      </c>
    </row>
    <row r="21" spans="1:27">
      <c r="A21" s="23">
        <v>44378</v>
      </c>
      <c r="B21" s="24" t="str">
        <f>VLOOKUP($J21,Sheet2!$A$2:$E$46,5,0)</f>
        <v>WF-2</v>
      </c>
      <c r="J21" t="s">
        <v>40</v>
      </c>
      <c r="L21">
        <v>29</v>
      </c>
      <c r="M21">
        <v>116</v>
      </c>
      <c r="N21">
        <v>14</v>
      </c>
      <c r="O21">
        <v>2870</v>
      </c>
      <c r="P21">
        <v>29</v>
      </c>
      <c r="Q21">
        <v>0</v>
      </c>
      <c r="R21" s="178">
        <v>0</v>
      </c>
      <c r="S21" s="178">
        <v>0</v>
      </c>
      <c r="T21">
        <v>9</v>
      </c>
      <c r="U21">
        <v>9</v>
      </c>
      <c r="V21">
        <v>0</v>
      </c>
      <c r="W21" s="178">
        <v>0</v>
      </c>
      <c r="X21" s="178">
        <v>0</v>
      </c>
      <c r="Y21">
        <v>2078</v>
      </c>
      <c r="Z21">
        <v>2055</v>
      </c>
      <c r="AA21">
        <v>7696</v>
      </c>
    </row>
    <row r="22" spans="1:27">
      <c r="A22" s="23">
        <v>44378</v>
      </c>
      <c r="B22" s="24" t="str">
        <f>VLOOKUP($J22,Sheet2!$A$2:$E$46,5,0)</f>
        <v>WF-5</v>
      </c>
      <c r="J22" t="s">
        <v>54</v>
      </c>
      <c r="L22">
        <v>2</v>
      </c>
      <c r="M22">
        <v>8</v>
      </c>
      <c r="N22">
        <v>2</v>
      </c>
      <c r="O22">
        <v>2273</v>
      </c>
      <c r="P22">
        <v>2</v>
      </c>
      <c r="Q22">
        <v>0</v>
      </c>
      <c r="R22" s="178">
        <v>0</v>
      </c>
      <c r="S22" s="178">
        <v>0</v>
      </c>
      <c r="T22">
        <v>2</v>
      </c>
      <c r="U22">
        <v>2</v>
      </c>
      <c r="V22">
        <v>0</v>
      </c>
      <c r="W22" s="178">
        <v>0</v>
      </c>
      <c r="X22" s="178">
        <v>0</v>
      </c>
      <c r="Y22">
        <v>1561</v>
      </c>
      <c r="Z22">
        <v>1555</v>
      </c>
      <c r="AA22">
        <v>6282</v>
      </c>
    </row>
    <row r="23" spans="1:27">
      <c r="A23" s="23">
        <v>44378</v>
      </c>
      <c r="B23" s="24" t="str">
        <f>VLOOKUP($J23,Sheet2!$A$2:$E$46,5,0)</f>
        <v>WF-5</v>
      </c>
      <c r="J23" t="s">
        <v>64</v>
      </c>
      <c r="L23">
        <v>0</v>
      </c>
      <c r="M23">
        <v>0</v>
      </c>
      <c r="N23">
        <v>0</v>
      </c>
      <c r="O23">
        <v>2415</v>
      </c>
      <c r="P23">
        <v>0</v>
      </c>
      <c r="Q23">
        <v>0</v>
      </c>
      <c r="R23" s="178">
        <v>0</v>
      </c>
      <c r="S23" s="178">
        <v>0</v>
      </c>
      <c r="T23">
        <v>0</v>
      </c>
      <c r="U23">
        <v>0</v>
      </c>
      <c r="V23">
        <v>0</v>
      </c>
      <c r="W23" s="178">
        <v>0</v>
      </c>
      <c r="X23" s="178">
        <v>0</v>
      </c>
      <c r="Y23">
        <v>1584</v>
      </c>
      <c r="Z23">
        <v>1579</v>
      </c>
      <c r="AA23">
        <v>5921</v>
      </c>
    </row>
    <row r="24" spans="1:27">
      <c r="A24" s="23">
        <v>44378</v>
      </c>
      <c r="B24" s="24" t="str">
        <f>VLOOKUP($J24,Sheet2!$A$2:$E$46,5,0)</f>
        <v>WF-1</v>
      </c>
      <c r="J24" t="s">
        <v>88</v>
      </c>
      <c r="L24">
        <v>18</v>
      </c>
      <c r="M24">
        <v>39</v>
      </c>
      <c r="N24">
        <v>34</v>
      </c>
      <c r="O24">
        <v>2348</v>
      </c>
      <c r="P24">
        <v>18</v>
      </c>
      <c r="Q24">
        <v>0</v>
      </c>
      <c r="R24" s="178">
        <v>0</v>
      </c>
      <c r="S24" s="178">
        <v>0</v>
      </c>
      <c r="T24">
        <v>17</v>
      </c>
      <c r="U24">
        <v>17</v>
      </c>
      <c r="V24">
        <v>0</v>
      </c>
      <c r="W24" s="178">
        <v>0</v>
      </c>
      <c r="X24" s="178">
        <v>0</v>
      </c>
      <c r="Y24">
        <v>1724</v>
      </c>
      <c r="Z24">
        <v>1711</v>
      </c>
      <c r="AA24">
        <v>6677</v>
      </c>
    </row>
    <row r="25" spans="1:27">
      <c r="A25" s="23">
        <v>44378</v>
      </c>
      <c r="B25" s="24" t="str">
        <f>VLOOKUP($J25,Sheet2!$A$2:$E$46,5,0)</f>
        <v>WF-2</v>
      </c>
      <c r="J25" t="s">
        <v>32</v>
      </c>
      <c r="L25">
        <v>235</v>
      </c>
      <c r="M25">
        <v>237</v>
      </c>
      <c r="N25">
        <v>32</v>
      </c>
      <c r="O25">
        <v>5702</v>
      </c>
      <c r="P25">
        <v>235</v>
      </c>
      <c r="Q25">
        <v>0</v>
      </c>
      <c r="R25" s="178">
        <v>0</v>
      </c>
      <c r="S25" s="178">
        <v>0</v>
      </c>
      <c r="T25">
        <v>32</v>
      </c>
      <c r="U25">
        <v>32</v>
      </c>
      <c r="V25">
        <v>0</v>
      </c>
      <c r="W25" s="178">
        <v>0</v>
      </c>
      <c r="X25" s="178">
        <v>0</v>
      </c>
      <c r="Y25">
        <v>3701</v>
      </c>
      <c r="Z25">
        <v>3668</v>
      </c>
      <c r="AA25">
        <v>13425</v>
      </c>
    </row>
    <row r="26" spans="1:27">
      <c r="A26" s="23">
        <v>44378</v>
      </c>
      <c r="B26" s="24" t="str">
        <f>VLOOKUP($J26,Sheet2!$A$2:$E$46,5,0)</f>
        <v>WF-6</v>
      </c>
      <c r="J26" t="s">
        <v>102</v>
      </c>
      <c r="L26">
        <v>27</v>
      </c>
      <c r="M26">
        <v>76</v>
      </c>
      <c r="N26">
        <v>76</v>
      </c>
      <c r="O26">
        <v>3887</v>
      </c>
      <c r="P26">
        <v>27</v>
      </c>
      <c r="Q26">
        <v>0</v>
      </c>
      <c r="R26" s="178">
        <v>0</v>
      </c>
      <c r="S26" s="178">
        <v>0</v>
      </c>
      <c r="T26">
        <v>27</v>
      </c>
      <c r="U26">
        <v>27</v>
      </c>
      <c r="V26">
        <v>0</v>
      </c>
      <c r="W26" s="178">
        <v>0</v>
      </c>
      <c r="X26" s="178">
        <v>0</v>
      </c>
      <c r="Y26">
        <v>2660</v>
      </c>
      <c r="Z26">
        <v>2628</v>
      </c>
      <c r="AA26">
        <v>9821</v>
      </c>
    </row>
    <row r="27" spans="1:27">
      <c r="A27" s="23">
        <v>44378</v>
      </c>
      <c r="B27" s="24" t="str">
        <f>VLOOKUP($J27,Sheet2!$A$2:$E$46,5,0)</f>
        <v>WF-4</v>
      </c>
      <c r="J27" t="s">
        <v>62</v>
      </c>
      <c r="L27">
        <v>610</v>
      </c>
      <c r="M27">
        <v>615</v>
      </c>
      <c r="N27">
        <v>216</v>
      </c>
      <c r="O27">
        <v>3148</v>
      </c>
      <c r="P27">
        <v>610</v>
      </c>
      <c r="Q27">
        <v>0</v>
      </c>
      <c r="R27" s="178">
        <v>0</v>
      </c>
      <c r="S27" s="178">
        <v>0</v>
      </c>
      <c r="T27">
        <v>212</v>
      </c>
      <c r="U27">
        <v>212</v>
      </c>
      <c r="V27">
        <v>0</v>
      </c>
      <c r="W27" s="178">
        <v>0</v>
      </c>
      <c r="X27" s="178">
        <v>0</v>
      </c>
      <c r="Y27">
        <v>2224</v>
      </c>
      <c r="Z27">
        <v>2186</v>
      </c>
      <c r="AA27">
        <v>8043</v>
      </c>
    </row>
    <row r="28" spans="1:27">
      <c r="A28" s="23">
        <v>44378</v>
      </c>
      <c r="B28" s="24" t="str">
        <f>VLOOKUP($J28,Sheet2!$A$2:$E$46,5,0)</f>
        <v>WF-1</v>
      </c>
      <c r="J28" t="s">
        <v>38</v>
      </c>
      <c r="L28">
        <v>122</v>
      </c>
      <c r="M28">
        <v>128</v>
      </c>
      <c r="N28">
        <v>96</v>
      </c>
      <c r="O28">
        <v>3355</v>
      </c>
      <c r="P28">
        <v>122</v>
      </c>
      <c r="Q28">
        <v>0</v>
      </c>
      <c r="R28" s="178">
        <v>0</v>
      </c>
      <c r="S28" s="178">
        <v>0</v>
      </c>
      <c r="T28">
        <v>90</v>
      </c>
      <c r="U28">
        <v>90</v>
      </c>
      <c r="V28">
        <v>0</v>
      </c>
      <c r="W28" s="178">
        <v>0</v>
      </c>
      <c r="X28" s="178">
        <v>0</v>
      </c>
      <c r="Y28">
        <v>2353</v>
      </c>
      <c r="Z28">
        <v>2311</v>
      </c>
      <c r="AA28">
        <v>8430</v>
      </c>
    </row>
    <row r="29" spans="1:27">
      <c r="A29" s="23">
        <v>44378</v>
      </c>
      <c r="B29" s="24" t="str">
        <f>VLOOKUP($J29,Sheet2!$A$2:$E$46,5,0)</f>
        <v>WF-5</v>
      </c>
      <c r="J29" t="s">
        <v>66</v>
      </c>
      <c r="L29">
        <v>205</v>
      </c>
      <c r="M29">
        <v>239</v>
      </c>
      <c r="N29">
        <v>175</v>
      </c>
      <c r="O29">
        <v>5389</v>
      </c>
      <c r="P29">
        <v>203</v>
      </c>
      <c r="Q29">
        <v>0</v>
      </c>
      <c r="R29" s="178">
        <v>0</v>
      </c>
      <c r="S29" s="178">
        <v>0</v>
      </c>
      <c r="T29">
        <v>157</v>
      </c>
      <c r="U29">
        <v>156</v>
      </c>
      <c r="V29">
        <v>0</v>
      </c>
      <c r="W29" s="178">
        <v>0</v>
      </c>
      <c r="X29" s="178">
        <v>0</v>
      </c>
      <c r="Y29">
        <v>3561</v>
      </c>
      <c r="Z29">
        <v>3490</v>
      </c>
      <c r="AA29">
        <v>14822</v>
      </c>
    </row>
    <row r="30" spans="1:27">
      <c r="A30" s="23">
        <v>44378</v>
      </c>
      <c r="B30" s="24" t="str">
        <f>VLOOKUP($J30,Sheet2!$A$2:$E$46,5,0)</f>
        <v>WF-7</v>
      </c>
      <c r="J30" t="s">
        <v>94</v>
      </c>
      <c r="L30">
        <v>3</v>
      </c>
      <c r="M30">
        <v>4</v>
      </c>
      <c r="N30">
        <v>3</v>
      </c>
      <c r="O30">
        <v>2019</v>
      </c>
      <c r="P30">
        <v>3</v>
      </c>
      <c r="Q30">
        <v>0</v>
      </c>
      <c r="R30" s="178">
        <v>0</v>
      </c>
      <c r="S30" s="178">
        <v>0</v>
      </c>
      <c r="T30">
        <v>3</v>
      </c>
      <c r="U30">
        <v>3</v>
      </c>
      <c r="V30">
        <v>0</v>
      </c>
      <c r="W30" s="178">
        <v>0</v>
      </c>
      <c r="X30" s="178">
        <v>0</v>
      </c>
      <c r="Y30">
        <v>1452</v>
      </c>
      <c r="Z30">
        <v>1447</v>
      </c>
      <c r="AA30">
        <v>6047</v>
      </c>
    </row>
    <row r="31" spans="1:27">
      <c r="A31" s="23">
        <v>44378</v>
      </c>
      <c r="B31" s="24" t="str">
        <f>VLOOKUP($J31,Sheet2!$A$2:$E$46,5,0)</f>
        <v>WF-1</v>
      </c>
      <c r="J31" t="s">
        <v>100</v>
      </c>
      <c r="L31">
        <v>27</v>
      </c>
      <c r="M31">
        <v>30</v>
      </c>
      <c r="N31">
        <v>16</v>
      </c>
      <c r="O31">
        <v>1618</v>
      </c>
      <c r="P31">
        <v>27</v>
      </c>
      <c r="Q31">
        <v>0</v>
      </c>
      <c r="R31" s="178">
        <v>0</v>
      </c>
      <c r="S31" s="178">
        <v>0</v>
      </c>
      <c r="T31">
        <v>13</v>
      </c>
      <c r="U31">
        <v>13</v>
      </c>
      <c r="V31">
        <v>0</v>
      </c>
      <c r="W31" s="178">
        <v>0</v>
      </c>
      <c r="X31" s="178">
        <v>0</v>
      </c>
      <c r="Y31">
        <v>1234</v>
      </c>
      <c r="Z31">
        <v>1231</v>
      </c>
      <c r="AA31">
        <v>4360</v>
      </c>
    </row>
    <row r="32" spans="1:27">
      <c r="A32" s="23">
        <v>44378</v>
      </c>
      <c r="B32" s="24" t="str">
        <f>VLOOKUP($J32,Sheet2!$A$2:$E$46,5,0)</f>
        <v>WF-4</v>
      </c>
      <c r="J32" t="s">
        <v>52</v>
      </c>
      <c r="L32">
        <v>17</v>
      </c>
      <c r="M32">
        <v>17</v>
      </c>
      <c r="N32">
        <v>17</v>
      </c>
      <c r="O32">
        <v>2188</v>
      </c>
      <c r="P32">
        <v>17</v>
      </c>
      <c r="Q32">
        <v>0</v>
      </c>
      <c r="R32" s="178">
        <v>0</v>
      </c>
      <c r="S32" s="178">
        <v>0</v>
      </c>
      <c r="T32">
        <v>17</v>
      </c>
      <c r="U32">
        <v>17</v>
      </c>
      <c r="V32">
        <v>0</v>
      </c>
      <c r="W32" s="178">
        <v>0</v>
      </c>
      <c r="X32" s="178">
        <v>0</v>
      </c>
      <c r="Y32">
        <v>1514</v>
      </c>
      <c r="Z32">
        <v>1496</v>
      </c>
      <c r="AA32">
        <v>6745</v>
      </c>
    </row>
    <row r="33" spans="1:27">
      <c r="A33" s="23">
        <v>44378</v>
      </c>
      <c r="B33" s="24" t="str">
        <f>VLOOKUP($J33,Sheet2!$A$2:$E$46,5,0)</f>
        <v>WF-1</v>
      </c>
      <c r="J33" t="s">
        <v>36</v>
      </c>
      <c r="L33">
        <v>3</v>
      </c>
      <c r="M33">
        <v>5</v>
      </c>
      <c r="N33">
        <v>4</v>
      </c>
      <c r="O33">
        <v>1606</v>
      </c>
      <c r="P33">
        <v>3</v>
      </c>
      <c r="Q33">
        <v>0</v>
      </c>
      <c r="R33" s="178">
        <v>0</v>
      </c>
      <c r="S33" s="178">
        <v>0</v>
      </c>
      <c r="T33">
        <v>2</v>
      </c>
      <c r="U33">
        <v>2</v>
      </c>
      <c r="V33">
        <v>0</v>
      </c>
      <c r="W33" s="178">
        <v>0</v>
      </c>
      <c r="X33" s="178">
        <v>0</v>
      </c>
      <c r="Y33">
        <v>985</v>
      </c>
      <c r="Z33">
        <v>981</v>
      </c>
      <c r="AA33">
        <v>3862</v>
      </c>
    </row>
    <row r="34" spans="1:27">
      <c r="A34" s="23">
        <v>44378</v>
      </c>
      <c r="B34" s="24" t="str">
        <f>VLOOKUP($J34,Sheet2!$A$2:$E$46,5,0)</f>
        <v>WF-5</v>
      </c>
      <c r="J34" t="s">
        <v>60</v>
      </c>
      <c r="L34">
        <v>38</v>
      </c>
      <c r="M34">
        <v>43</v>
      </c>
      <c r="N34">
        <v>11</v>
      </c>
      <c r="O34">
        <v>1402</v>
      </c>
      <c r="P34">
        <v>38</v>
      </c>
      <c r="Q34">
        <v>0</v>
      </c>
      <c r="R34" s="178">
        <v>0</v>
      </c>
      <c r="S34" s="178">
        <v>0</v>
      </c>
      <c r="T34">
        <v>11</v>
      </c>
      <c r="U34">
        <v>11</v>
      </c>
      <c r="V34">
        <v>0</v>
      </c>
      <c r="W34" s="178">
        <v>0</v>
      </c>
      <c r="X34" s="178">
        <v>0</v>
      </c>
      <c r="Y34">
        <v>911</v>
      </c>
      <c r="Z34">
        <v>895</v>
      </c>
      <c r="AA34">
        <v>3723</v>
      </c>
    </row>
    <row r="35" spans="1:27">
      <c r="A35" s="23">
        <v>44378</v>
      </c>
      <c r="B35" s="24" t="str">
        <f>VLOOKUP($J35,Sheet2!$A$2:$E$46,5,0)</f>
        <v>WF-5</v>
      </c>
      <c r="J35" t="s">
        <v>68</v>
      </c>
      <c r="L35">
        <v>44</v>
      </c>
      <c r="M35">
        <v>44</v>
      </c>
      <c r="N35">
        <v>44</v>
      </c>
      <c r="O35">
        <v>1265</v>
      </c>
      <c r="P35">
        <v>44</v>
      </c>
      <c r="Q35">
        <v>0</v>
      </c>
      <c r="R35" s="178">
        <v>0</v>
      </c>
      <c r="S35" s="178">
        <v>0</v>
      </c>
      <c r="T35">
        <v>44</v>
      </c>
      <c r="U35">
        <v>44</v>
      </c>
      <c r="V35">
        <v>0</v>
      </c>
      <c r="W35" s="178">
        <v>0</v>
      </c>
      <c r="X35" s="178">
        <v>0</v>
      </c>
      <c r="Y35">
        <v>839</v>
      </c>
      <c r="Z35">
        <v>827</v>
      </c>
      <c r="AA35">
        <v>3559</v>
      </c>
    </row>
    <row r="36" spans="1:27">
      <c r="A36" s="23">
        <v>44378</v>
      </c>
      <c r="B36" s="24" t="str">
        <f>VLOOKUP($J36,Sheet2!$A$2:$E$46,5,0)</f>
        <v>WF-6</v>
      </c>
      <c r="J36" t="s">
        <v>78</v>
      </c>
      <c r="L36">
        <v>2</v>
      </c>
      <c r="M36">
        <v>2</v>
      </c>
      <c r="N36">
        <v>2</v>
      </c>
      <c r="O36">
        <v>1167</v>
      </c>
      <c r="P36">
        <v>2</v>
      </c>
      <c r="Q36">
        <v>0</v>
      </c>
      <c r="R36" s="178">
        <v>0</v>
      </c>
      <c r="S36" s="178">
        <v>0</v>
      </c>
      <c r="T36">
        <v>2</v>
      </c>
      <c r="U36">
        <v>2</v>
      </c>
      <c r="V36">
        <v>0</v>
      </c>
      <c r="W36" s="178">
        <v>0</v>
      </c>
      <c r="X36" s="178">
        <v>0</v>
      </c>
      <c r="Y36">
        <v>721</v>
      </c>
      <c r="Z36">
        <v>710</v>
      </c>
      <c r="AA36">
        <v>2824</v>
      </c>
    </row>
    <row r="37" spans="1:27">
      <c r="A37" s="23">
        <v>44378</v>
      </c>
      <c r="B37" s="24" t="str">
        <f>VLOOKUP($J37,Sheet2!$A$2:$E$46,5,0)</f>
        <v>WF-4</v>
      </c>
      <c r="J37" t="s">
        <v>56</v>
      </c>
      <c r="L37">
        <v>16</v>
      </c>
      <c r="M37">
        <v>16</v>
      </c>
      <c r="N37">
        <v>16</v>
      </c>
      <c r="O37">
        <v>1202</v>
      </c>
      <c r="P37">
        <v>16</v>
      </c>
      <c r="Q37">
        <v>0</v>
      </c>
      <c r="R37" s="178">
        <v>0</v>
      </c>
      <c r="S37" s="178">
        <v>0</v>
      </c>
      <c r="T37">
        <v>16</v>
      </c>
      <c r="U37">
        <v>16</v>
      </c>
      <c r="V37">
        <v>0</v>
      </c>
      <c r="W37" s="178">
        <v>0</v>
      </c>
      <c r="X37" s="178">
        <v>0</v>
      </c>
      <c r="Y37">
        <v>820</v>
      </c>
      <c r="Z37">
        <v>815</v>
      </c>
      <c r="AA37">
        <v>3294</v>
      </c>
    </row>
    <row r="38" spans="1:27">
      <c r="A38" s="23">
        <v>44378</v>
      </c>
      <c r="B38" s="24" t="str">
        <f>VLOOKUP($J38,Sheet2!$A$2:$E$46,5,0)</f>
        <v>WF-2</v>
      </c>
      <c r="J38" t="s">
        <v>30</v>
      </c>
      <c r="L38">
        <v>24</v>
      </c>
      <c r="M38">
        <v>33</v>
      </c>
      <c r="N38">
        <v>32</v>
      </c>
      <c r="O38">
        <v>3522</v>
      </c>
      <c r="P38">
        <v>23</v>
      </c>
      <c r="Q38">
        <v>0</v>
      </c>
      <c r="R38" s="178">
        <v>0</v>
      </c>
      <c r="S38" s="178">
        <v>0</v>
      </c>
      <c r="T38">
        <v>23</v>
      </c>
      <c r="U38">
        <v>23</v>
      </c>
      <c r="V38">
        <v>0</v>
      </c>
      <c r="W38" s="178">
        <v>0</v>
      </c>
      <c r="X38" s="178">
        <v>0</v>
      </c>
      <c r="Y38">
        <v>2274</v>
      </c>
      <c r="Z38">
        <v>2240</v>
      </c>
      <c r="AA38">
        <v>9010</v>
      </c>
    </row>
    <row r="39" spans="1:27">
      <c r="A39" s="23">
        <v>44378</v>
      </c>
      <c r="B39" s="24" t="str">
        <f>VLOOKUP($J39,Sheet2!$A$2:$E$46,5,0)</f>
        <v>WF-1</v>
      </c>
      <c r="J39" t="s">
        <v>96</v>
      </c>
      <c r="L39">
        <v>7</v>
      </c>
      <c r="M39">
        <v>10</v>
      </c>
      <c r="N39">
        <v>6</v>
      </c>
      <c r="O39">
        <v>2372</v>
      </c>
      <c r="P39">
        <v>7</v>
      </c>
      <c r="Q39">
        <v>0</v>
      </c>
      <c r="R39" s="178">
        <v>0</v>
      </c>
      <c r="S39" s="178">
        <v>0</v>
      </c>
      <c r="T39">
        <v>6</v>
      </c>
      <c r="U39">
        <v>6</v>
      </c>
      <c r="V39">
        <v>0</v>
      </c>
      <c r="W39" s="178">
        <v>0</v>
      </c>
      <c r="X39" s="178">
        <v>0</v>
      </c>
      <c r="Y39">
        <v>1521</v>
      </c>
      <c r="Z39">
        <v>1509</v>
      </c>
      <c r="AA39">
        <v>6384</v>
      </c>
    </row>
    <row r="40" spans="1:27">
      <c r="A40" s="23">
        <v>44378</v>
      </c>
      <c r="B40" s="24" t="str">
        <f>VLOOKUP($J40,Sheet2!$A$2:$E$46,5,0)</f>
        <v>Total</v>
      </c>
      <c r="J40" t="s">
        <v>107</v>
      </c>
      <c r="L40">
        <v>2068</v>
      </c>
      <c r="M40">
        <v>2353</v>
      </c>
      <c r="N40">
        <v>1285</v>
      </c>
      <c r="O40">
        <v>101238</v>
      </c>
      <c r="P40">
        <v>2064</v>
      </c>
      <c r="Q40">
        <v>0</v>
      </c>
      <c r="R40" s="178">
        <v>0</v>
      </c>
      <c r="S40" s="178">
        <v>0</v>
      </c>
      <c r="T40">
        <v>1151</v>
      </c>
      <c r="U40">
        <v>1150</v>
      </c>
      <c r="V40">
        <v>0</v>
      </c>
      <c r="W40" s="178">
        <v>0</v>
      </c>
      <c r="X40" s="178">
        <v>0</v>
      </c>
      <c r="Y40">
        <v>69536</v>
      </c>
      <c r="Z40">
        <v>68795</v>
      </c>
      <c r="AA40">
        <v>267862</v>
      </c>
    </row>
    <row r="41" spans="1:27">
      <c r="A41" s="23">
        <v>44378</v>
      </c>
      <c r="B41" s="24" t="str">
        <f>VLOOKUP($J41,Sheet2!$A$2:$E$46,5,0)</f>
        <v>WF-1</v>
      </c>
      <c r="J41" t="s">
        <v>106</v>
      </c>
      <c r="L41">
        <v>6</v>
      </c>
      <c r="M41">
        <v>6</v>
      </c>
      <c r="N41">
        <v>6</v>
      </c>
      <c r="O41">
        <v>6805</v>
      </c>
      <c r="P41">
        <v>5</v>
      </c>
      <c r="Q41">
        <v>0</v>
      </c>
      <c r="R41" s="178">
        <v>0</v>
      </c>
      <c r="S41" s="178">
        <v>0</v>
      </c>
      <c r="T41">
        <v>5</v>
      </c>
      <c r="U41">
        <v>5</v>
      </c>
      <c r="V41">
        <v>0</v>
      </c>
      <c r="W41" s="178">
        <v>0</v>
      </c>
      <c r="X41" s="178">
        <v>0</v>
      </c>
      <c r="Y41">
        <v>1747</v>
      </c>
      <c r="Z41">
        <v>1183</v>
      </c>
      <c r="AA41">
        <v>16080</v>
      </c>
    </row>
    <row r="42" spans="1:27">
      <c r="A42" s="23">
        <v>44378</v>
      </c>
      <c r="B42" s="24" t="str">
        <f>VLOOKUP($J42,Sheet2!$A$2:$E$46,5,0)</f>
        <v>WF-4</v>
      </c>
      <c r="J42" t="s">
        <v>74</v>
      </c>
      <c r="L42">
        <v>11</v>
      </c>
      <c r="M42">
        <v>11</v>
      </c>
      <c r="N42">
        <v>1</v>
      </c>
      <c r="O42">
        <v>4078</v>
      </c>
      <c r="P42">
        <v>9</v>
      </c>
      <c r="Q42">
        <v>0</v>
      </c>
      <c r="R42" s="178">
        <v>0</v>
      </c>
      <c r="S42" s="178">
        <v>0</v>
      </c>
      <c r="T42">
        <v>1</v>
      </c>
      <c r="U42">
        <v>1</v>
      </c>
      <c r="V42">
        <v>0</v>
      </c>
      <c r="W42" s="178">
        <v>0</v>
      </c>
      <c r="X42" s="178">
        <v>0</v>
      </c>
      <c r="Y42">
        <v>1281</v>
      </c>
      <c r="Z42">
        <v>976</v>
      </c>
      <c r="AA42">
        <v>9991</v>
      </c>
    </row>
    <row r="43" spans="1:27">
      <c r="A43" s="23">
        <v>44378</v>
      </c>
      <c r="B43" s="24" t="str">
        <f>VLOOKUP($J43,Sheet2!$A$2:$E$46,5,0)</f>
        <v>WF-1</v>
      </c>
      <c r="J43" t="s">
        <v>42</v>
      </c>
      <c r="L43">
        <v>0</v>
      </c>
      <c r="M43">
        <v>0</v>
      </c>
      <c r="N43">
        <v>0</v>
      </c>
      <c r="O43">
        <v>2118</v>
      </c>
      <c r="P43">
        <v>0</v>
      </c>
      <c r="Q43">
        <v>0</v>
      </c>
      <c r="R43" s="178">
        <v>0</v>
      </c>
      <c r="S43" s="178">
        <v>0</v>
      </c>
      <c r="T43">
        <v>0</v>
      </c>
      <c r="V43">
        <v>0</v>
      </c>
      <c r="W43" s="178">
        <v>0</v>
      </c>
      <c r="X43" s="178">
        <v>0</v>
      </c>
      <c r="Y43">
        <v>658</v>
      </c>
      <c r="Z43">
        <v>564</v>
      </c>
      <c r="AA43">
        <v>5253</v>
      </c>
    </row>
    <row r="44" spans="1:27">
      <c r="A44" s="23">
        <v>44378</v>
      </c>
      <c r="B44" s="24" t="str">
        <f>VLOOKUP($J44,Sheet2!$A$2:$E$46,5,0)</f>
        <v>WF-1</v>
      </c>
      <c r="J44" t="s">
        <v>104</v>
      </c>
      <c r="L44">
        <v>29</v>
      </c>
      <c r="M44">
        <v>29</v>
      </c>
      <c r="N44">
        <v>21</v>
      </c>
      <c r="O44">
        <v>2868</v>
      </c>
      <c r="P44">
        <v>13</v>
      </c>
      <c r="Q44">
        <v>0</v>
      </c>
      <c r="R44" s="178">
        <v>0</v>
      </c>
      <c r="S44" s="178">
        <v>0</v>
      </c>
      <c r="T44">
        <v>14</v>
      </c>
      <c r="U44">
        <v>13</v>
      </c>
      <c r="V44">
        <v>0</v>
      </c>
      <c r="W44" s="178">
        <v>0</v>
      </c>
      <c r="X44" s="178">
        <v>0</v>
      </c>
      <c r="Y44">
        <v>767</v>
      </c>
      <c r="Z44">
        <v>661</v>
      </c>
      <c r="AA44">
        <v>7240</v>
      </c>
    </row>
    <row r="45" spans="1:27">
      <c r="A45" s="23">
        <v>44378</v>
      </c>
      <c r="B45" s="24" t="str">
        <f>VLOOKUP($J45,Sheet2!$A$2:$E$46,5,0)</f>
        <v>WF-3</v>
      </c>
      <c r="J45" t="s">
        <v>72</v>
      </c>
      <c r="L45">
        <v>15</v>
      </c>
      <c r="M45">
        <v>15</v>
      </c>
      <c r="N45">
        <v>20</v>
      </c>
      <c r="O45">
        <v>5429</v>
      </c>
      <c r="P45">
        <v>11</v>
      </c>
      <c r="Q45">
        <v>0</v>
      </c>
      <c r="R45" s="178">
        <v>0</v>
      </c>
      <c r="S45" s="178">
        <v>0</v>
      </c>
      <c r="T45">
        <v>20</v>
      </c>
      <c r="U45">
        <v>17</v>
      </c>
      <c r="V45">
        <v>0</v>
      </c>
      <c r="W45" s="178">
        <v>0</v>
      </c>
      <c r="X45" s="178">
        <v>0</v>
      </c>
      <c r="Y45">
        <v>1513</v>
      </c>
      <c r="Z45">
        <v>1246</v>
      </c>
      <c r="AA45">
        <v>15195</v>
      </c>
    </row>
    <row r="46" spans="1:27">
      <c r="A46" s="23">
        <v>44378</v>
      </c>
      <c r="B46" s="24" t="e">
        <f>VLOOKUP($J46,Sheet2!$A$2:$E$46,5,0)</f>
        <v>#N/A</v>
      </c>
    </row>
    <row r="47" spans="1:27">
      <c r="A47" s="23">
        <v>44378</v>
      </c>
      <c r="B47" s="24" t="e">
        <f>VLOOKUP($J47,Sheet2!$A$2:$E$46,5,0)</f>
        <v>#N/A</v>
      </c>
    </row>
    <row r="48" spans="1:27">
      <c r="A48" s="23">
        <v>44378</v>
      </c>
      <c r="B48" s="24" t="str">
        <f>VLOOKUP($J48,Sheet2!$A$2:$E$46,5,0)</f>
        <v>WF-1</v>
      </c>
      <c r="J48" t="s">
        <v>110</v>
      </c>
      <c r="L48">
        <f>L33</f>
        <v>3</v>
      </c>
      <c r="M48">
        <f t="shared" ref="M48:AA48" si="2">M33</f>
        <v>5</v>
      </c>
      <c r="N48">
        <f t="shared" si="2"/>
        <v>4</v>
      </c>
      <c r="O48">
        <f t="shared" si="2"/>
        <v>1606</v>
      </c>
      <c r="P48">
        <f t="shared" si="2"/>
        <v>3</v>
      </c>
      <c r="Q48">
        <f t="shared" si="2"/>
        <v>0</v>
      </c>
      <c r="R48" s="178">
        <f t="shared" si="2"/>
        <v>0</v>
      </c>
      <c r="S48" s="178">
        <f t="shared" si="2"/>
        <v>0</v>
      </c>
      <c r="T48">
        <f t="shared" si="2"/>
        <v>2</v>
      </c>
      <c r="U48">
        <f t="shared" si="2"/>
        <v>2</v>
      </c>
      <c r="V48">
        <f t="shared" si="2"/>
        <v>0</v>
      </c>
      <c r="W48" s="178">
        <f t="shared" si="2"/>
        <v>0</v>
      </c>
      <c r="X48" s="178">
        <f t="shared" si="2"/>
        <v>0</v>
      </c>
      <c r="Y48">
        <f t="shared" si="2"/>
        <v>985</v>
      </c>
      <c r="Z48">
        <f t="shared" si="2"/>
        <v>981</v>
      </c>
      <c r="AA48">
        <f t="shared" si="2"/>
        <v>3862</v>
      </c>
    </row>
    <row r="49" spans="1:27">
      <c r="A49" s="23">
        <v>44378</v>
      </c>
      <c r="B49" s="24" t="str">
        <f>VLOOKUP($J49,Sheet2!$A$2:$E$46,5,0)</f>
        <v>WF-1</v>
      </c>
      <c r="E49" s="8"/>
      <c r="J49" t="s">
        <v>113</v>
      </c>
      <c r="L49">
        <f>L43</f>
        <v>0</v>
      </c>
      <c r="M49">
        <f t="shared" ref="M49:AA49" si="3">M43</f>
        <v>0</v>
      </c>
      <c r="N49">
        <f t="shared" si="3"/>
        <v>0</v>
      </c>
      <c r="O49">
        <f t="shared" si="3"/>
        <v>2118</v>
      </c>
      <c r="P49">
        <f t="shared" si="3"/>
        <v>0</v>
      </c>
      <c r="Q49">
        <f t="shared" si="3"/>
        <v>0</v>
      </c>
      <c r="R49" s="178">
        <f t="shared" si="3"/>
        <v>0</v>
      </c>
      <c r="S49" s="178">
        <f t="shared" si="3"/>
        <v>0</v>
      </c>
      <c r="T49">
        <f t="shared" si="3"/>
        <v>0</v>
      </c>
      <c r="U49">
        <f t="shared" si="3"/>
        <v>0</v>
      </c>
      <c r="V49">
        <f t="shared" si="3"/>
        <v>0</v>
      </c>
      <c r="W49" s="178">
        <f t="shared" si="3"/>
        <v>0</v>
      </c>
      <c r="X49" s="178">
        <f t="shared" si="3"/>
        <v>0</v>
      </c>
      <c r="Y49">
        <f t="shared" si="3"/>
        <v>658</v>
      </c>
      <c r="Z49">
        <f t="shared" si="3"/>
        <v>564</v>
      </c>
      <c r="AA49">
        <f t="shared" si="3"/>
        <v>5253</v>
      </c>
    </row>
    <row r="50" spans="1:27">
      <c r="A50" s="23">
        <v>44378</v>
      </c>
      <c r="B50" s="24" t="str">
        <f>VLOOKUP($J50,Sheet2!$A$2:$E$46,5,0)</f>
        <v>WF-7</v>
      </c>
      <c r="J50" t="s">
        <v>116</v>
      </c>
      <c r="L50">
        <f>L10</f>
        <v>0</v>
      </c>
      <c r="M50">
        <f t="shared" ref="M50:AA50" si="4">M10</f>
        <v>0</v>
      </c>
      <c r="N50">
        <f t="shared" si="4"/>
        <v>0</v>
      </c>
      <c r="O50">
        <f t="shared" si="4"/>
        <v>2739</v>
      </c>
      <c r="P50">
        <f t="shared" si="4"/>
        <v>0</v>
      </c>
      <c r="Q50">
        <f t="shared" si="4"/>
        <v>0</v>
      </c>
      <c r="R50" s="178">
        <f t="shared" si="4"/>
        <v>0</v>
      </c>
      <c r="S50" s="178">
        <f t="shared" si="4"/>
        <v>0</v>
      </c>
      <c r="T50">
        <f t="shared" si="4"/>
        <v>0</v>
      </c>
      <c r="U50">
        <f t="shared" si="4"/>
        <v>0</v>
      </c>
      <c r="V50">
        <f t="shared" si="4"/>
        <v>0</v>
      </c>
      <c r="W50" s="178">
        <f t="shared" si="4"/>
        <v>0</v>
      </c>
      <c r="X50" s="178">
        <f t="shared" si="4"/>
        <v>0</v>
      </c>
      <c r="Y50">
        <f t="shared" si="4"/>
        <v>1830</v>
      </c>
      <c r="Z50">
        <f t="shared" si="4"/>
        <v>1805</v>
      </c>
      <c r="AA50">
        <f t="shared" si="4"/>
        <v>8106</v>
      </c>
    </row>
    <row r="51" spans="1:27">
      <c r="A51" s="23">
        <v>44378</v>
      </c>
      <c r="B51" s="24" t="str">
        <f>VLOOKUP($J51,Sheet2!$A$2:$E$46,5,0)</f>
        <v>WF-7</v>
      </c>
      <c r="E51" s="7"/>
      <c r="J51" t="s">
        <v>118</v>
      </c>
      <c r="L51">
        <f>L8</f>
        <v>0</v>
      </c>
      <c r="M51">
        <f t="shared" ref="M51:AA51" si="5">M8</f>
        <v>0</v>
      </c>
      <c r="N51">
        <f t="shared" si="5"/>
        <v>0</v>
      </c>
      <c r="O51">
        <f t="shared" si="5"/>
        <v>2647</v>
      </c>
      <c r="P51">
        <f t="shared" si="5"/>
        <v>0</v>
      </c>
      <c r="Q51">
        <f t="shared" si="5"/>
        <v>0</v>
      </c>
      <c r="R51" s="178">
        <f t="shared" si="5"/>
        <v>0</v>
      </c>
      <c r="S51" s="178">
        <f t="shared" si="5"/>
        <v>0</v>
      </c>
      <c r="T51">
        <f t="shared" si="5"/>
        <v>0</v>
      </c>
      <c r="U51">
        <f t="shared" si="5"/>
        <v>0</v>
      </c>
      <c r="V51">
        <f t="shared" si="5"/>
        <v>0</v>
      </c>
      <c r="W51" s="178">
        <f t="shared" si="5"/>
        <v>0</v>
      </c>
      <c r="X51" s="178">
        <f t="shared" si="5"/>
        <v>0</v>
      </c>
      <c r="Y51">
        <f t="shared" si="5"/>
        <v>1758</v>
      </c>
      <c r="Z51">
        <f t="shared" si="5"/>
        <v>1745</v>
      </c>
      <c r="AA51">
        <f t="shared" si="5"/>
        <v>6686</v>
      </c>
    </row>
    <row r="52" spans="1:27">
      <c r="A52" s="23">
        <v>44378</v>
      </c>
      <c r="B52" s="24" t="str">
        <f>VLOOKUP($J52,Sheet2!$A$2:$E$46,5,0)</f>
        <v>WF-7</v>
      </c>
      <c r="J52" t="s">
        <v>120</v>
      </c>
      <c r="L52">
        <f>L16</f>
        <v>0</v>
      </c>
      <c r="M52">
        <f t="shared" ref="M52:AA52" si="6">M16</f>
        <v>0</v>
      </c>
      <c r="N52">
        <f t="shared" si="6"/>
        <v>0</v>
      </c>
      <c r="O52">
        <f t="shared" si="6"/>
        <v>2885</v>
      </c>
      <c r="P52">
        <f t="shared" si="6"/>
        <v>0</v>
      </c>
      <c r="Q52">
        <f t="shared" si="6"/>
        <v>0</v>
      </c>
      <c r="R52" s="178">
        <f t="shared" si="6"/>
        <v>0</v>
      </c>
      <c r="S52" s="178">
        <f t="shared" si="6"/>
        <v>0</v>
      </c>
      <c r="T52">
        <f t="shared" si="6"/>
        <v>0</v>
      </c>
      <c r="U52">
        <f t="shared" si="6"/>
        <v>0</v>
      </c>
      <c r="V52">
        <f t="shared" si="6"/>
        <v>0</v>
      </c>
      <c r="W52" s="178">
        <f t="shared" si="6"/>
        <v>0</v>
      </c>
      <c r="X52" s="178">
        <f t="shared" si="6"/>
        <v>0</v>
      </c>
      <c r="Y52">
        <f t="shared" si="6"/>
        <v>1991</v>
      </c>
      <c r="Z52">
        <f t="shared" si="6"/>
        <v>1970</v>
      </c>
      <c r="AA52">
        <f t="shared" si="6"/>
        <v>7325</v>
      </c>
    </row>
    <row r="53" spans="1:27">
      <c r="A53" s="23">
        <v>44378</v>
      </c>
      <c r="B53" s="24" t="e">
        <f>VLOOKUP($J53,Sheet2!$A$2:$E$46,5,0)</f>
        <v>#N/A</v>
      </c>
    </row>
    <row r="54" spans="1:27">
      <c r="A54" s="23">
        <v>44378</v>
      </c>
      <c r="B54" s="24" t="e">
        <f>VLOOKUP($J54,Sheet2!$A$2:$E$46,5,0)</f>
        <v>#N/A</v>
      </c>
      <c r="L54" t="s">
        <v>189</v>
      </c>
      <c r="M54" t="s">
        <v>190</v>
      </c>
      <c r="N54" t="s">
        <v>191</v>
      </c>
      <c r="O54" t="s">
        <v>192</v>
      </c>
      <c r="P54" t="s">
        <v>193</v>
      </c>
      <c r="Q54" t="s">
        <v>194</v>
      </c>
      <c r="R54" s="178" t="s">
        <v>195</v>
      </c>
      <c r="S54" s="178" t="s">
        <v>196</v>
      </c>
      <c r="T54" t="s">
        <v>197</v>
      </c>
      <c r="U54" t="s">
        <v>198</v>
      </c>
      <c r="V54" t="s">
        <v>199</v>
      </c>
      <c r="W54" s="178" t="s">
        <v>200</v>
      </c>
      <c r="X54" s="178" t="s">
        <v>201</v>
      </c>
      <c r="Y54" t="s">
        <v>202</v>
      </c>
      <c r="Z54" t="s">
        <v>203</v>
      </c>
      <c r="AA54" t="s">
        <v>204</v>
      </c>
    </row>
    <row r="55" spans="1:27">
      <c r="A55" s="23">
        <v>44378</v>
      </c>
      <c r="B55" s="24" t="e">
        <f>VLOOKUP($J55,Sheet2!$A$2:$E$46,5,0)</f>
        <v>#N/A</v>
      </c>
      <c r="C55" t="s">
        <v>185</v>
      </c>
      <c r="E55" t="s">
        <v>186</v>
      </c>
      <c r="G55" t="s">
        <v>187</v>
      </c>
      <c r="H55">
        <v>536646</v>
      </c>
      <c r="K55" t="s">
        <v>188</v>
      </c>
      <c r="L55" t="s">
        <v>189</v>
      </c>
      <c r="M55" t="s">
        <v>190</v>
      </c>
      <c r="N55" t="s">
        <v>191</v>
      </c>
      <c r="O55" t="s">
        <v>192</v>
      </c>
      <c r="P55" t="s">
        <v>193</v>
      </c>
      <c r="Q55" t="s">
        <v>194</v>
      </c>
      <c r="R55" s="178" t="s">
        <v>195</v>
      </c>
      <c r="S55" s="178" t="s">
        <v>196</v>
      </c>
      <c r="T55" t="s">
        <v>197</v>
      </c>
      <c r="U55" t="s">
        <v>198</v>
      </c>
      <c r="V55" t="s">
        <v>199</v>
      </c>
      <c r="W55" s="178" t="s">
        <v>200</v>
      </c>
      <c r="X55" s="178" t="s">
        <v>201</v>
      </c>
      <c r="Y55" t="s">
        <v>202</v>
      </c>
      <c r="Z55" t="s">
        <v>203</v>
      </c>
      <c r="AA55" t="s">
        <v>204</v>
      </c>
    </row>
    <row r="56" spans="1:27">
      <c r="A56" s="23">
        <v>44470</v>
      </c>
      <c r="B56" s="24" t="e">
        <f>VLOOKUP($J56,Sheet2!$A$2:$E$46,5,0)</f>
        <v>#N/A</v>
      </c>
      <c r="E56" s="8">
        <v>44494.831250000003</v>
      </c>
      <c r="G56" t="s">
        <v>205</v>
      </c>
      <c r="H56">
        <v>277372</v>
      </c>
      <c r="J56" t="s">
        <v>29</v>
      </c>
    </row>
    <row r="57" spans="1:27">
      <c r="A57" s="23">
        <v>44470</v>
      </c>
      <c r="B57" s="24" t="str">
        <f>VLOOKUP($J57,Sheet2!$A$2:$E$46,5,0)</f>
        <v>WF-6</v>
      </c>
      <c r="E57" t="s">
        <v>206</v>
      </c>
      <c r="G57" t="s">
        <v>207</v>
      </c>
      <c r="H57">
        <v>259274</v>
      </c>
      <c r="J57" t="s">
        <v>80</v>
      </c>
      <c r="L57">
        <v>38</v>
      </c>
      <c r="M57">
        <v>46</v>
      </c>
      <c r="N57">
        <v>41</v>
      </c>
      <c r="O57">
        <v>3340</v>
      </c>
      <c r="P57">
        <v>28</v>
      </c>
      <c r="Q57">
        <v>10</v>
      </c>
      <c r="R57" s="178">
        <v>0</v>
      </c>
      <c r="S57" s="178">
        <v>0</v>
      </c>
      <c r="T57">
        <v>35</v>
      </c>
      <c r="U57">
        <v>27</v>
      </c>
      <c r="V57">
        <v>8</v>
      </c>
      <c r="W57" s="178">
        <v>0</v>
      </c>
      <c r="X57" s="178">
        <v>0</v>
      </c>
      <c r="Y57">
        <v>2249</v>
      </c>
      <c r="Z57">
        <v>2230</v>
      </c>
      <c r="AA57">
        <v>7737</v>
      </c>
    </row>
    <row r="58" spans="1:27">
      <c r="A58" s="23">
        <v>44470</v>
      </c>
      <c r="B58" s="24" t="str">
        <f>VLOOKUP($J58,Sheet2!$A$2:$E$46,5,0)</f>
        <v>WF-1</v>
      </c>
      <c r="E58" s="7">
        <v>44470</v>
      </c>
      <c r="J58" t="s">
        <v>82</v>
      </c>
      <c r="L58">
        <v>31</v>
      </c>
      <c r="M58">
        <v>40</v>
      </c>
      <c r="N58">
        <v>38</v>
      </c>
      <c r="O58">
        <v>3315</v>
      </c>
      <c r="P58">
        <v>13</v>
      </c>
      <c r="Q58">
        <v>18</v>
      </c>
      <c r="R58" s="178">
        <v>0</v>
      </c>
      <c r="S58" s="178">
        <v>0</v>
      </c>
      <c r="T58">
        <v>30</v>
      </c>
      <c r="U58">
        <v>12</v>
      </c>
      <c r="V58">
        <v>18</v>
      </c>
      <c r="W58" s="178">
        <v>0</v>
      </c>
      <c r="X58" s="178">
        <v>0</v>
      </c>
      <c r="Y58">
        <v>2430</v>
      </c>
      <c r="Z58">
        <v>2415</v>
      </c>
      <c r="AA58">
        <v>9373</v>
      </c>
    </row>
    <row r="59" spans="1:27">
      <c r="A59" s="23">
        <v>44470</v>
      </c>
      <c r="B59" s="24" t="str">
        <f>VLOOKUP($J59,Sheet2!$A$2:$E$46,5,0)</f>
        <v>WF-7</v>
      </c>
      <c r="J59" t="s">
        <v>86</v>
      </c>
      <c r="L59">
        <v>22</v>
      </c>
      <c r="M59">
        <v>23</v>
      </c>
      <c r="N59">
        <v>23</v>
      </c>
      <c r="O59">
        <v>2654</v>
      </c>
      <c r="P59">
        <v>0</v>
      </c>
      <c r="Q59">
        <v>22</v>
      </c>
      <c r="R59" s="178">
        <v>0</v>
      </c>
      <c r="S59" s="178">
        <v>0</v>
      </c>
      <c r="T59">
        <v>22</v>
      </c>
      <c r="U59">
        <v>0</v>
      </c>
      <c r="V59">
        <v>22</v>
      </c>
      <c r="W59" s="178">
        <v>0</v>
      </c>
      <c r="X59" s="178">
        <v>0</v>
      </c>
      <c r="Y59">
        <v>1768</v>
      </c>
      <c r="Z59">
        <v>1756</v>
      </c>
      <c r="AA59">
        <v>6692</v>
      </c>
    </row>
    <row r="60" spans="1:27">
      <c r="A60" s="23">
        <v>44470</v>
      </c>
      <c r="B60" s="24" t="str">
        <f>VLOOKUP($J60,Sheet2!$A$2:$E$46,5,0)</f>
        <v>WF-3</v>
      </c>
      <c r="J60" t="s">
        <v>44</v>
      </c>
      <c r="L60">
        <v>6</v>
      </c>
      <c r="M60">
        <v>14</v>
      </c>
      <c r="N60">
        <v>9</v>
      </c>
      <c r="O60">
        <v>3855</v>
      </c>
      <c r="P60">
        <v>3</v>
      </c>
      <c r="Q60">
        <v>3</v>
      </c>
      <c r="R60" s="178">
        <v>0</v>
      </c>
      <c r="S60" s="178">
        <v>0</v>
      </c>
      <c r="T60">
        <v>6</v>
      </c>
      <c r="U60">
        <v>3</v>
      </c>
      <c r="V60">
        <v>3</v>
      </c>
      <c r="W60" s="178">
        <v>0</v>
      </c>
      <c r="X60" s="178">
        <v>0</v>
      </c>
      <c r="Y60">
        <v>2556</v>
      </c>
      <c r="Z60">
        <v>2529</v>
      </c>
      <c r="AA60">
        <v>9592</v>
      </c>
    </row>
    <row r="61" spans="1:27">
      <c r="A61" s="23">
        <v>44470</v>
      </c>
      <c r="B61" s="24" t="str">
        <f>VLOOKUP($J61,Sheet2!$A$2:$E$46,5,0)</f>
        <v>WF-7</v>
      </c>
      <c r="J61" t="s">
        <v>90</v>
      </c>
      <c r="L61">
        <v>14</v>
      </c>
      <c r="M61">
        <v>14</v>
      </c>
      <c r="N61">
        <v>14</v>
      </c>
      <c r="O61">
        <v>2758</v>
      </c>
      <c r="P61">
        <v>0</v>
      </c>
      <c r="Q61">
        <v>14</v>
      </c>
      <c r="R61" s="178">
        <v>0</v>
      </c>
      <c r="S61" s="178">
        <v>0</v>
      </c>
      <c r="T61">
        <v>14</v>
      </c>
      <c r="U61">
        <v>0</v>
      </c>
      <c r="V61">
        <v>6</v>
      </c>
      <c r="W61" s="178">
        <v>0</v>
      </c>
      <c r="X61" s="178">
        <v>0</v>
      </c>
      <c r="Y61">
        <v>1846</v>
      </c>
      <c r="Z61">
        <v>1822</v>
      </c>
      <c r="AA61">
        <v>8134</v>
      </c>
    </row>
    <row r="62" spans="1:27">
      <c r="A62" s="23">
        <v>44470</v>
      </c>
      <c r="B62" s="24" t="str">
        <f>VLOOKUP($J62,Sheet2!$A$2:$E$46,5,0)</f>
        <v>WF-4</v>
      </c>
      <c r="J62" t="s">
        <v>46</v>
      </c>
      <c r="L62">
        <v>178</v>
      </c>
      <c r="M62">
        <v>179</v>
      </c>
      <c r="N62">
        <v>139</v>
      </c>
      <c r="O62">
        <v>6219</v>
      </c>
      <c r="P62">
        <v>1</v>
      </c>
      <c r="Q62">
        <v>178</v>
      </c>
      <c r="R62" s="178">
        <v>0</v>
      </c>
      <c r="S62" s="178">
        <v>0</v>
      </c>
      <c r="T62">
        <v>139</v>
      </c>
      <c r="U62">
        <v>0</v>
      </c>
      <c r="V62">
        <v>139</v>
      </c>
      <c r="W62" s="178">
        <v>0</v>
      </c>
      <c r="X62" s="178">
        <v>0</v>
      </c>
      <c r="Y62">
        <v>4484</v>
      </c>
      <c r="Z62">
        <v>4445</v>
      </c>
      <c r="AA62">
        <v>15153</v>
      </c>
    </row>
    <row r="63" spans="1:27">
      <c r="A63" s="23">
        <v>44470</v>
      </c>
      <c r="B63" s="24" t="str">
        <f>VLOOKUP($J63,Sheet2!$A$2:$E$46,5,0)</f>
        <v>WF-3</v>
      </c>
      <c r="J63" t="s">
        <v>48</v>
      </c>
      <c r="L63">
        <v>16</v>
      </c>
      <c r="M63">
        <v>18</v>
      </c>
      <c r="N63">
        <v>15</v>
      </c>
      <c r="O63">
        <v>4014</v>
      </c>
      <c r="P63">
        <v>4</v>
      </c>
      <c r="Q63">
        <v>12</v>
      </c>
      <c r="R63" s="178">
        <v>0</v>
      </c>
      <c r="S63" s="178">
        <v>0</v>
      </c>
      <c r="T63">
        <v>14</v>
      </c>
      <c r="U63">
        <v>3</v>
      </c>
      <c r="V63">
        <v>11</v>
      </c>
      <c r="W63" s="178">
        <v>0</v>
      </c>
      <c r="X63" s="178">
        <v>0</v>
      </c>
      <c r="Y63">
        <v>2648</v>
      </c>
      <c r="Z63">
        <v>2603</v>
      </c>
      <c r="AA63">
        <v>11379</v>
      </c>
    </row>
    <row r="64" spans="1:27">
      <c r="A64" s="23">
        <v>44470</v>
      </c>
      <c r="B64" s="24" t="str">
        <f>VLOOKUP($J64,Sheet2!$A$2:$E$46,5,0)</f>
        <v>WF-4</v>
      </c>
      <c r="J64" t="s">
        <v>50</v>
      </c>
      <c r="L64">
        <v>775</v>
      </c>
      <c r="M64">
        <v>794</v>
      </c>
      <c r="N64">
        <v>218</v>
      </c>
      <c r="O64">
        <v>3257</v>
      </c>
      <c r="P64">
        <v>80</v>
      </c>
      <c r="Q64">
        <v>702</v>
      </c>
      <c r="R64" s="178">
        <v>0</v>
      </c>
      <c r="S64" s="178">
        <v>0</v>
      </c>
      <c r="T64">
        <v>205</v>
      </c>
      <c r="U64">
        <v>44</v>
      </c>
      <c r="V64">
        <v>161</v>
      </c>
      <c r="W64" s="178">
        <v>0</v>
      </c>
      <c r="X64" s="178">
        <v>0</v>
      </c>
      <c r="Y64">
        <v>2427</v>
      </c>
      <c r="Z64">
        <v>2413</v>
      </c>
      <c r="AA64">
        <v>10123</v>
      </c>
    </row>
    <row r="65" spans="1:27">
      <c r="A65" s="23">
        <v>44470</v>
      </c>
      <c r="B65" s="24" t="str">
        <f>VLOOKUP($J65,Sheet2!$A$2:$E$46,5,0)</f>
        <v>WF-5</v>
      </c>
      <c r="J65" t="s">
        <v>58</v>
      </c>
      <c r="L65">
        <v>39</v>
      </c>
      <c r="M65">
        <v>41</v>
      </c>
      <c r="N65">
        <v>40</v>
      </c>
      <c r="O65">
        <v>867</v>
      </c>
      <c r="P65">
        <v>19</v>
      </c>
      <c r="Q65">
        <v>20</v>
      </c>
      <c r="R65" s="178">
        <v>0</v>
      </c>
      <c r="S65" s="178">
        <v>0</v>
      </c>
      <c r="T65">
        <v>38</v>
      </c>
      <c r="U65">
        <v>18</v>
      </c>
      <c r="V65">
        <v>20</v>
      </c>
      <c r="W65" s="178">
        <v>0</v>
      </c>
      <c r="X65" s="178">
        <v>0</v>
      </c>
      <c r="Y65">
        <v>590</v>
      </c>
      <c r="Z65">
        <v>585</v>
      </c>
      <c r="AA65">
        <v>2017</v>
      </c>
    </row>
    <row r="66" spans="1:27">
      <c r="A66" s="23">
        <v>44470</v>
      </c>
      <c r="B66" s="24" t="str">
        <f>VLOOKUP($J66,Sheet2!$A$2:$E$46,5,0)</f>
        <v>WF-7</v>
      </c>
      <c r="J66" t="s">
        <v>98</v>
      </c>
      <c r="L66">
        <v>434</v>
      </c>
      <c r="M66">
        <v>446</v>
      </c>
      <c r="N66">
        <v>232</v>
      </c>
      <c r="O66">
        <v>5696</v>
      </c>
      <c r="P66">
        <v>181</v>
      </c>
      <c r="Q66">
        <v>253</v>
      </c>
      <c r="R66" s="178">
        <v>0</v>
      </c>
      <c r="S66" s="178">
        <v>0</v>
      </c>
      <c r="T66">
        <v>229</v>
      </c>
      <c r="U66">
        <v>129</v>
      </c>
      <c r="V66">
        <v>100</v>
      </c>
      <c r="W66" s="178">
        <v>0</v>
      </c>
      <c r="X66" s="178">
        <v>0</v>
      </c>
      <c r="Y66">
        <v>3989</v>
      </c>
      <c r="Z66">
        <v>3944</v>
      </c>
      <c r="AA66">
        <v>16557</v>
      </c>
    </row>
    <row r="67" spans="1:27">
      <c r="A67" s="23">
        <v>44470</v>
      </c>
      <c r="B67" s="24" t="str">
        <f>VLOOKUP($J67,Sheet2!$A$2:$E$46,5,0)</f>
        <v>WF-7</v>
      </c>
      <c r="J67" t="s">
        <v>92</v>
      </c>
      <c r="L67">
        <v>21</v>
      </c>
      <c r="M67">
        <v>35</v>
      </c>
      <c r="N67">
        <v>33</v>
      </c>
      <c r="O67">
        <v>2889</v>
      </c>
      <c r="P67">
        <v>2</v>
      </c>
      <c r="Q67">
        <v>19</v>
      </c>
      <c r="R67" s="178">
        <v>0</v>
      </c>
      <c r="S67" s="178">
        <v>0</v>
      </c>
      <c r="T67">
        <v>19</v>
      </c>
      <c r="U67">
        <v>0</v>
      </c>
      <c r="V67">
        <v>19</v>
      </c>
      <c r="W67" s="178">
        <v>0</v>
      </c>
      <c r="X67" s="178">
        <v>0</v>
      </c>
      <c r="Y67">
        <v>1989</v>
      </c>
      <c r="Z67">
        <v>1969</v>
      </c>
      <c r="AA67">
        <v>7318</v>
      </c>
    </row>
    <row r="68" spans="1:27">
      <c r="A68" s="23">
        <v>44470</v>
      </c>
      <c r="B68" s="24" t="str">
        <f>VLOOKUP($J68,Sheet2!$A$2:$E$46,5,0)</f>
        <v>WF-2</v>
      </c>
      <c r="J68" t="s">
        <v>34</v>
      </c>
      <c r="L68">
        <v>2</v>
      </c>
      <c r="M68">
        <v>4</v>
      </c>
      <c r="N68">
        <v>3</v>
      </c>
      <c r="O68">
        <v>3191</v>
      </c>
      <c r="P68">
        <v>2</v>
      </c>
      <c r="Q68">
        <v>0</v>
      </c>
      <c r="R68" s="178">
        <v>0</v>
      </c>
      <c r="S68" s="178">
        <v>0</v>
      </c>
      <c r="T68">
        <v>1</v>
      </c>
      <c r="U68">
        <v>1</v>
      </c>
      <c r="V68">
        <v>0</v>
      </c>
      <c r="W68" s="178">
        <v>0</v>
      </c>
      <c r="X68" s="178">
        <v>0</v>
      </c>
      <c r="Y68">
        <v>2174</v>
      </c>
      <c r="Z68">
        <v>2153</v>
      </c>
      <c r="AA68">
        <v>6901</v>
      </c>
    </row>
    <row r="69" spans="1:27">
      <c r="A69" s="23">
        <v>44470</v>
      </c>
      <c r="B69" s="24" t="str">
        <f>VLOOKUP($J69,Sheet2!$A$2:$E$46,5,0)</f>
        <v>WF-6</v>
      </c>
      <c r="J69" t="s">
        <v>84</v>
      </c>
      <c r="L69">
        <v>16</v>
      </c>
      <c r="M69">
        <v>46</v>
      </c>
      <c r="N69">
        <v>35</v>
      </c>
      <c r="O69">
        <v>2250</v>
      </c>
      <c r="P69">
        <v>0</v>
      </c>
      <c r="Q69">
        <v>15</v>
      </c>
      <c r="R69" s="178">
        <v>0</v>
      </c>
      <c r="S69" s="178">
        <v>0</v>
      </c>
      <c r="T69">
        <v>10</v>
      </c>
      <c r="U69">
        <v>0</v>
      </c>
      <c r="V69">
        <v>10</v>
      </c>
      <c r="W69" s="178">
        <v>0</v>
      </c>
      <c r="X69" s="178">
        <v>0</v>
      </c>
      <c r="Y69">
        <v>1604</v>
      </c>
      <c r="Z69">
        <v>1599</v>
      </c>
      <c r="AA69">
        <v>6173</v>
      </c>
    </row>
    <row r="70" spans="1:27">
      <c r="A70" s="23">
        <v>44470</v>
      </c>
      <c r="B70" s="24" t="str">
        <f>VLOOKUP($J70,Sheet2!$A$2:$E$46,5,0)</f>
        <v>WF-4</v>
      </c>
      <c r="J70" t="s">
        <v>70</v>
      </c>
      <c r="L70">
        <v>1</v>
      </c>
      <c r="M70">
        <v>1</v>
      </c>
      <c r="N70">
        <v>0</v>
      </c>
      <c r="O70">
        <v>1941</v>
      </c>
      <c r="P70">
        <v>0</v>
      </c>
      <c r="Q70">
        <v>1</v>
      </c>
      <c r="R70" s="178">
        <v>0</v>
      </c>
      <c r="S70" s="178">
        <v>0</v>
      </c>
      <c r="T70">
        <v>0</v>
      </c>
      <c r="U70">
        <v>0</v>
      </c>
      <c r="V70">
        <v>0</v>
      </c>
      <c r="W70" s="178">
        <v>0</v>
      </c>
      <c r="X70" s="178">
        <v>0</v>
      </c>
      <c r="Y70">
        <v>1300</v>
      </c>
      <c r="Z70">
        <v>1292</v>
      </c>
      <c r="AA70">
        <v>4895</v>
      </c>
    </row>
    <row r="71" spans="1:27">
      <c r="A71" s="23">
        <v>44470</v>
      </c>
      <c r="B71" s="24" t="str">
        <f>VLOOKUP($J71,Sheet2!$A$2:$E$46,5,0)</f>
        <v>WF-6</v>
      </c>
      <c r="J71" t="s">
        <v>76</v>
      </c>
      <c r="L71">
        <v>469</v>
      </c>
      <c r="M71">
        <v>522</v>
      </c>
      <c r="N71">
        <v>372</v>
      </c>
      <c r="O71">
        <v>5601</v>
      </c>
      <c r="P71">
        <v>311</v>
      </c>
      <c r="Q71">
        <v>173</v>
      </c>
      <c r="R71" s="178">
        <v>0</v>
      </c>
      <c r="S71" s="178">
        <v>0</v>
      </c>
      <c r="T71">
        <v>357</v>
      </c>
      <c r="U71">
        <v>234</v>
      </c>
      <c r="V71">
        <v>123</v>
      </c>
      <c r="W71" s="178">
        <v>0</v>
      </c>
      <c r="X71" s="178">
        <v>0</v>
      </c>
      <c r="Y71">
        <v>4073</v>
      </c>
      <c r="Z71">
        <v>4019</v>
      </c>
      <c r="AA71">
        <v>15108</v>
      </c>
    </row>
    <row r="72" spans="1:27">
      <c r="A72" s="23">
        <v>44470</v>
      </c>
      <c r="B72" s="24" t="str">
        <f>VLOOKUP($J72,Sheet2!$A$2:$E$46,5,0)</f>
        <v>WF-2</v>
      </c>
      <c r="J72" t="s">
        <v>40</v>
      </c>
      <c r="L72">
        <v>131</v>
      </c>
      <c r="M72">
        <v>268</v>
      </c>
      <c r="N72">
        <v>44</v>
      </c>
      <c r="O72">
        <v>2917</v>
      </c>
      <c r="P72">
        <v>30</v>
      </c>
      <c r="Q72">
        <v>101</v>
      </c>
      <c r="R72" s="178">
        <v>0</v>
      </c>
      <c r="S72" s="178">
        <v>0</v>
      </c>
      <c r="T72">
        <v>32</v>
      </c>
      <c r="U72">
        <v>10</v>
      </c>
      <c r="V72">
        <v>22</v>
      </c>
      <c r="W72" s="178">
        <v>0</v>
      </c>
      <c r="X72" s="178">
        <v>0</v>
      </c>
      <c r="Y72">
        <v>2118</v>
      </c>
      <c r="Z72">
        <v>2100</v>
      </c>
      <c r="AA72">
        <v>7798</v>
      </c>
    </row>
    <row r="73" spans="1:27">
      <c r="A73" s="23">
        <v>44470</v>
      </c>
      <c r="B73" s="24" t="str">
        <f>VLOOKUP($J73,Sheet2!$A$2:$E$46,5,0)</f>
        <v>WF-5</v>
      </c>
      <c r="J73" t="s">
        <v>54</v>
      </c>
      <c r="L73">
        <v>3</v>
      </c>
      <c r="M73">
        <v>10</v>
      </c>
      <c r="N73">
        <v>3</v>
      </c>
      <c r="O73">
        <v>2328</v>
      </c>
      <c r="P73">
        <v>2</v>
      </c>
      <c r="Q73">
        <v>1</v>
      </c>
      <c r="R73" s="178">
        <v>0</v>
      </c>
      <c r="S73" s="178">
        <v>0</v>
      </c>
      <c r="T73">
        <v>3</v>
      </c>
      <c r="U73">
        <v>2</v>
      </c>
      <c r="V73">
        <v>1</v>
      </c>
      <c r="W73" s="178">
        <v>0</v>
      </c>
      <c r="X73" s="178">
        <v>0</v>
      </c>
      <c r="Y73">
        <v>1593</v>
      </c>
      <c r="Z73">
        <v>1586</v>
      </c>
      <c r="AA73">
        <v>6419</v>
      </c>
    </row>
    <row r="74" spans="1:27">
      <c r="A74" s="23">
        <v>44470</v>
      </c>
      <c r="B74" s="24" t="str">
        <f>VLOOKUP($J74,Sheet2!$A$2:$E$46,5,0)</f>
        <v>WF-5</v>
      </c>
      <c r="J74" t="s">
        <v>64</v>
      </c>
      <c r="L74">
        <v>24</v>
      </c>
      <c r="M74">
        <v>29</v>
      </c>
      <c r="N74">
        <v>28</v>
      </c>
      <c r="O74">
        <v>2423</v>
      </c>
      <c r="P74">
        <v>0</v>
      </c>
      <c r="Q74">
        <v>24</v>
      </c>
      <c r="R74" s="178">
        <v>0</v>
      </c>
      <c r="S74" s="178">
        <v>0</v>
      </c>
      <c r="T74">
        <v>24</v>
      </c>
      <c r="U74">
        <v>0</v>
      </c>
      <c r="V74">
        <v>24</v>
      </c>
      <c r="W74" s="178">
        <v>0</v>
      </c>
      <c r="X74" s="178">
        <v>0</v>
      </c>
      <c r="Y74">
        <v>1594</v>
      </c>
      <c r="Z74">
        <v>1586</v>
      </c>
      <c r="AA74">
        <v>5886</v>
      </c>
    </row>
    <row r="75" spans="1:27">
      <c r="A75" s="23">
        <v>44470</v>
      </c>
      <c r="B75" s="24" t="str">
        <f>VLOOKUP($J75,Sheet2!$A$2:$E$46,5,0)</f>
        <v>WF-1</v>
      </c>
      <c r="J75" t="s">
        <v>88</v>
      </c>
      <c r="L75">
        <v>32</v>
      </c>
      <c r="M75">
        <v>64</v>
      </c>
      <c r="N75">
        <v>58</v>
      </c>
      <c r="O75">
        <v>2420</v>
      </c>
      <c r="P75">
        <v>18</v>
      </c>
      <c r="Q75">
        <v>14</v>
      </c>
      <c r="R75" s="178">
        <v>0</v>
      </c>
      <c r="S75" s="178">
        <v>0</v>
      </c>
      <c r="T75">
        <v>30</v>
      </c>
      <c r="U75">
        <v>17</v>
      </c>
      <c r="V75">
        <v>13</v>
      </c>
      <c r="W75" s="178">
        <v>0</v>
      </c>
      <c r="X75" s="178">
        <v>0</v>
      </c>
      <c r="Y75">
        <v>1776</v>
      </c>
      <c r="Z75">
        <v>1761</v>
      </c>
      <c r="AA75">
        <v>6837</v>
      </c>
    </row>
    <row r="76" spans="1:27">
      <c r="A76" s="23">
        <v>44470</v>
      </c>
      <c r="B76" s="24" t="str">
        <f>VLOOKUP($J76,Sheet2!$A$2:$E$46,5,0)</f>
        <v>WF-2</v>
      </c>
      <c r="J76" t="s">
        <v>32</v>
      </c>
      <c r="L76">
        <v>465</v>
      </c>
      <c r="M76">
        <v>472</v>
      </c>
      <c r="N76">
        <v>139</v>
      </c>
      <c r="O76">
        <v>5669</v>
      </c>
      <c r="P76">
        <v>239</v>
      </c>
      <c r="Q76">
        <v>269</v>
      </c>
      <c r="R76" s="178">
        <v>0</v>
      </c>
      <c r="S76" s="178">
        <v>0</v>
      </c>
      <c r="T76">
        <v>135</v>
      </c>
      <c r="U76">
        <v>37</v>
      </c>
      <c r="V76">
        <v>98</v>
      </c>
      <c r="W76" s="178">
        <v>0</v>
      </c>
      <c r="X76" s="178">
        <v>0</v>
      </c>
      <c r="Y76">
        <v>3685</v>
      </c>
      <c r="Z76">
        <v>3646</v>
      </c>
      <c r="AA76">
        <v>13355</v>
      </c>
    </row>
    <row r="77" spans="1:27">
      <c r="A77" s="23">
        <v>44470</v>
      </c>
      <c r="B77" s="24" t="str">
        <f>VLOOKUP($J77,Sheet2!$A$2:$E$46,5,0)</f>
        <v>WF-6</v>
      </c>
      <c r="J77" t="s">
        <v>102</v>
      </c>
      <c r="L77">
        <v>43</v>
      </c>
      <c r="M77">
        <v>121</v>
      </c>
      <c r="N77">
        <v>121</v>
      </c>
      <c r="O77">
        <v>3820</v>
      </c>
      <c r="P77">
        <v>27</v>
      </c>
      <c r="Q77">
        <v>15</v>
      </c>
      <c r="R77" s="178">
        <v>0</v>
      </c>
      <c r="S77" s="178">
        <v>0</v>
      </c>
      <c r="T77">
        <v>42</v>
      </c>
      <c r="U77">
        <v>27</v>
      </c>
      <c r="V77">
        <v>15</v>
      </c>
      <c r="W77" s="178">
        <v>0</v>
      </c>
      <c r="X77" s="178">
        <v>0</v>
      </c>
      <c r="Y77">
        <v>2616</v>
      </c>
      <c r="Z77">
        <v>2588</v>
      </c>
      <c r="AA77">
        <v>9515</v>
      </c>
    </row>
    <row r="78" spans="1:27">
      <c r="A78" s="23">
        <v>44470</v>
      </c>
      <c r="B78" s="24" t="str">
        <f>VLOOKUP($J78,Sheet2!$A$2:$E$46,5,0)</f>
        <v>WF-4</v>
      </c>
      <c r="J78" t="s">
        <v>62</v>
      </c>
      <c r="L78">
        <v>683</v>
      </c>
      <c r="M78">
        <v>691</v>
      </c>
      <c r="N78">
        <v>328</v>
      </c>
      <c r="O78">
        <v>3144</v>
      </c>
      <c r="P78">
        <v>611</v>
      </c>
      <c r="Q78">
        <v>137</v>
      </c>
      <c r="R78" s="178">
        <v>0</v>
      </c>
      <c r="S78" s="178">
        <v>0</v>
      </c>
      <c r="T78">
        <v>323</v>
      </c>
      <c r="U78">
        <v>213</v>
      </c>
      <c r="V78">
        <v>110</v>
      </c>
      <c r="W78" s="178">
        <v>0</v>
      </c>
      <c r="X78" s="178">
        <v>0</v>
      </c>
      <c r="Y78">
        <v>2217</v>
      </c>
      <c r="Z78">
        <v>2179</v>
      </c>
      <c r="AA78">
        <v>8025</v>
      </c>
    </row>
    <row r="79" spans="1:27">
      <c r="A79" s="23">
        <v>44470</v>
      </c>
      <c r="B79" s="24" t="str">
        <f>VLOOKUP($J79,Sheet2!$A$2:$E$46,5,0)</f>
        <v>WF-1</v>
      </c>
      <c r="J79" t="s">
        <v>38</v>
      </c>
      <c r="L79">
        <v>450</v>
      </c>
      <c r="M79">
        <v>471</v>
      </c>
      <c r="N79">
        <v>258</v>
      </c>
      <c r="O79">
        <v>3351</v>
      </c>
      <c r="P79">
        <v>121</v>
      </c>
      <c r="Q79">
        <v>337</v>
      </c>
      <c r="R79" s="178">
        <v>0</v>
      </c>
      <c r="S79" s="178">
        <v>0</v>
      </c>
      <c r="T79">
        <v>239</v>
      </c>
      <c r="U79">
        <v>89</v>
      </c>
      <c r="V79">
        <v>150</v>
      </c>
      <c r="W79" s="178">
        <v>0</v>
      </c>
      <c r="X79" s="178">
        <v>0</v>
      </c>
      <c r="Y79">
        <v>2344</v>
      </c>
      <c r="Z79">
        <v>2301</v>
      </c>
      <c r="AA79">
        <v>8420</v>
      </c>
    </row>
    <row r="80" spans="1:27">
      <c r="A80" s="23">
        <v>44470</v>
      </c>
      <c r="B80" s="24" t="str">
        <f>VLOOKUP($J80,Sheet2!$A$2:$E$46,5,0)</f>
        <v>WF-5</v>
      </c>
      <c r="J80" t="s">
        <v>66</v>
      </c>
      <c r="L80">
        <v>528</v>
      </c>
      <c r="M80">
        <v>650</v>
      </c>
      <c r="N80">
        <v>416</v>
      </c>
      <c r="O80">
        <v>5402</v>
      </c>
      <c r="P80">
        <v>202</v>
      </c>
      <c r="Q80">
        <v>333</v>
      </c>
      <c r="R80" s="178">
        <v>0</v>
      </c>
      <c r="S80" s="178">
        <v>0</v>
      </c>
      <c r="T80">
        <v>320</v>
      </c>
      <c r="U80">
        <v>155</v>
      </c>
      <c r="V80">
        <v>164</v>
      </c>
      <c r="W80" s="178">
        <v>0</v>
      </c>
      <c r="X80" s="178">
        <v>0</v>
      </c>
      <c r="Y80">
        <v>3571</v>
      </c>
      <c r="Z80">
        <v>3501</v>
      </c>
      <c r="AA80">
        <v>14758</v>
      </c>
    </row>
    <row r="81" spans="1:27">
      <c r="A81" s="23">
        <v>44470</v>
      </c>
      <c r="B81" s="24" t="str">
        <f>VLOOKUP($J81,Sheet2!$A$2:$E$46,5,0)</f>
        <v>WF-7</v>
      </c>
      <c r="J81" t="s">
        <v>94</v>
      </c>
      <c r="L81">
        <v>5</v>
      </c>
      <c r="M81">
        <v>7</v>
      </c>
      <c r="N81">
        <v>5</v>
      </c>
      <c r="O81">
        <v>2037</v>
      </c>
      <c r="P81">
        <v>3</v>
      </c>
      <c r="Q81">
        <v>2</v>
      </c>
      <c r="R81" s="178">
        <v>0</v>
      </c>
      <c r="S81" s="178">
        <v>0</v>
      </c>
      <c r="T81">
        <v>4</v>
      </c>
      <c r="U81">
        <v>3</v>
      </c>
      <c r="V81">
        <v>1</v>
      </c>
      <c r="W81" s="178">
        <v>0</v>
      </c>
      <c r="X81" s="178">
        <v>0</v>
      </c>
      <c r="Y81">
        <v>1472</v>
      </c>
      <c r="Z81">
        <v>1468</v>
      </c>
      <c r="AA81">
        <v>6106</v>
      </c>
    </row>
    <row r="82" spans="1:27">
      <c r="A82" s="23">
        <v>44470</v>
      </c>
      <c r="B82" s="24" t="str">
        <f>VLOOKUP($J82,Sheet2!$A$2:$E$46,5,0)</f>
        <v>WF-1</v>
      </c>
      <c r="J82" t="s">
        <v>100</v>
      </c>
      <c r="L82">
        <v>71</v>
      </c>
      <c r="M82">
        <v>78</v>
      </c>
      <c r="N82">
        <v>47</v>
      </c>
      <c r="O82">
        <v>1640</v>
      </c>
      <c r="P82">
        <v>27</v>
      </c>
      <c r="Q82">
        <v>45</v>
      </c>
      <c r="R82" s="178">
        <v>0</v>
      </c>
      <c r="S82" s="178">
        <v>0</v>
      </c>
      <c r="T82">
        <v>42</v>
      </c>
      <c r="U82">
        <v>13</v>
      </c>
      <c r="V82">
        <v>29</v>
      </c>
      <c r="W82" s="178">
        <v>0</v>
      </c>
      <c r="X82" s="178">
        <v>0</v>
      </c>
      <c r="Y82">
        <v>1254</v>
      </c>
      <c r="Z82">
        <v>1251</v>
      </c>
      <c r="AA82">
        <v>4366</v>
      </c>
    </row>
    <row r="83" spans="1:27">
      <c r="A83" s="23">
        <v>44470</v>
      </c>
      <c r="B83" s="24" t="str">
        <f>VLOOKUP($J83,Sheet2!$A$2:$E$46,5,0)</f>
        <v>WF-4</v>
      </c>
      <c r="J83" t="s">
        <v>52</v>
      </c>
      <c r="L83">
        <v>29</v>
      </c>
      <c r="M83">
        <v>30</v>
      </c>
      <c r="N83">
        <v>27</v>
      </c>
      <c r="O83">
        <v>2226</v>
      </c>
      <c r="P83">
        <v>18</v>
      </c>
      <c r="Q83">
        <v>11</v>
      </c>
      <c r="R83" s="178">
        <v>0</v>
      </c>
      <c r="S83" s="178">
        <v>0</v>
      </c>
      <c r="T83">
        <v>26</v>
      </c>
      <c r="U83">
        <v>17</v>
      </c>
      <c r="V83">
        <v>9</v>
      </c>
      <c r="W83" s="178">
        <v>0</v>
      </c>
      <c r="X83" s="178">
        <v>0</v>
      </c>
      <c r="Y83">
        <v>1557</v>
      </c>
      <c r="Z83">
        <v>1540</v>
      </c>
      <c r="AA83">
        <v>6872</v>
      </c>
    </row>
    <row r="84" spans="1:27">
      <c r="A84" s="23">
        <v>44470</v>
      </c>
      <c r="B84" s="24" t="str">
        <f>VLOOKUP($J84,Sheet2!$A$2:$E$46,5,0)</f>
        <v>WF-1</v>
      </c>
      <c r="J84" t="s">
        <v>36</v>
      </c>
      <c r="L84">
        <v>39</v>
      </c>
      <c r="M84">
        <v>44</v>
      </c>
      <c r="N84">
        <v>42</v>
      </c>
      <c r="O84">
        <v>1586</v>
      </c>
      <c r="P84">
        <v>3</v>
      </c>
      <c r="Q84">
        <v>35</v>
      </c>
      <c r="R84" s="178">
        <v>0</v>
      </c>
      <c r="S84" s="178">
        <v>0</v>
      </c>
      <c r="T84">
        <v>37</v>
      </c>
      <c r="U84">
        <v>2</v>
      </c>
      <c r="V84">
        <v>35</v>
      </c>
      <c r="W84" s="178">
        <v>0</v>
      </c>
      <c r="X84" s="178">
        <v>0</v>
      </c>
      <c r="Y84">
        <v>962</v>
      </c>
      <c r="Z84">
        <v>959</v>
      </c>
      <c r="AA84">
        <v>3875</v>
      </c>
    </row>
    <row r="85" spans="1:27">
      <c r="A85" s="23">
        <v>44470</v>
      </c>
      <c r="B85" s="24" t="str">
        <f>VLOOKUP($J85,Sheet2!$A$2:$E$46,5,0)</f>
        <v>WF-5</v>
      </c>
      <c r="J85" t="s">
        <v>60</v>
      </c>
      <c r="L85">
        <v>44</v>
      </c>
      <c r="M85">
        <v>49</v>
      </c>
      <c r="N85">
        <v>14</v>
      </c>
      <c r="O85">
        <v>1419</v>
      </c>
      <c r="P85">
        <v>39</v>
      </c>
      <c r="Q85">
        <v>5</v>
      </c>
      <c r="R85" s="178">
        <v>0</v>
      </c>
      <c r="S85" s="178">
        <v>0</v>
      </c>
      <c r="T85">
        <v>14</v>
      </c>
      <c r="U85">
        <v>11</v>
      </c>
      <c r="V85">
        <v>3</v>
      </c>
      <c r="W85" s="178">
        <v>0</v>
      </c>
      <c r="X85" s="178">
        <v>0</v>
      </c>
      <c r="Y85">
        <v>918</v>
      </c>
      <c r="Z85">
        <v>904</v>
      </c>
      <c r="AA85">
        <v>3767</v>
      </c>
    </row>
    <row r="86" spans="1:27">
      <c r="A86" s="23">
        <v>44470</v>
      </c>
      <c r="B86" s="24" t="str">
        <f>VLOOKUP($J86,Sheet2!$A$2:$E$46,5,0)</f>
        <v>WF-5</v>
      </c>
      <c r="J86" t="s">
        <v>68</v>
      </c>
      <c r="L86">
        <v>81</v>
      </c>
      <c r="M86">
        <v>81</v>
      </c>
      <c r="N86">
        <v>80</v>
      </c>
      <c r="O86">
        <v>1269</v>
      </c>
      <c r="P86">
        <v>44</v>
      </c>
      <c r="Q86">
        <v>37</v>
      </c>
      <c r="R86" s="178">
        <v>0</v>
      </c>
      <c r="S86" s="178">
        <v>0</v>
      </c>
      <c r="T86">
        <v>80</v>
      </c>
      <c r="U86">
        <v>44</v>
      </c>
      <c r="V86">
        <v>36</v>
      </c>
      <c r="W86" s="178">
        <v>0</v>
      </c>
      <c r="X86" s="178">
        <v>0</v>
      </c>
      <c r="Y86">
        <v>840</v>
      </c>
      <c r="Z86">
        <v>829</v>
      </c>
      <c r="AA86">
        <v>3541</v>
      </c>
    </row>
    <row r="87" spans="1:27">
      <c r="A87" s="23">
        <v>44470</v>
      </c>
      <c r="B87" s="24" t="str">
        <f>VLOOKUP($J87,Sheet2!$A$2:$E$46,5,0)</f>
        <v>WF-6</v>
      </c>
      <c r="J87" t="s">
        <v>78</v>
      </c>
      <c r="L87">
        <v>40</v>
      </c>
      <c r="M87">
        <v>42</v>
      </c>
      <c r="N87">
        <v>40</v>
      </c>
      <c r="O87">
        <v>1176</v>
      </c>
      <c r="P87">
        <v>2</v>
      </c>
      <c r="Q87">
        <v>38</v>
      </c>
      <c r="R87" s="178">
        <v>0</v>
      </c>
      <c r="S87" s="178">
        <v>0</v>
      </c>
      <c r="T87">
        <v>39</v>
      </c>
      <c r="U87">
        <v>2</v>
      </c>
      <c r="V87">
        <v>37</v>
      </c>
      <c r="W87" s="178">
        <v>0</v>
      </c>
      <c r="X87" s="178">
        <v>0</v>
      </c>
      <c r="Y87">
        <v>725</v>
      </c>
      <c r="Z87">
        <v>712</v>
      </c>
      <c r="AA87">
        <v>2854</v>
      </c>
    </row>
    <row r="88" spans="1:27">
      <c r="A88" s="23">
        <v>44470</v>
      </c>
      <c r="B88" s="24" t="str">
        <f>VLOOKUP($J88,Sheet2!$A$2:$E$46,5,0)</f>
        <v>WF-4</v>
      </c>
      <c r="J88" t="s">
        <v>56</v>
      </c>
      <c r="L88">
        <v>220</v>
      </c>
      <c r="M88">
        <v>220</v>
      </c>
      <c r="N88">
        <v>65</v>
      </c>
      <c r="O88">
        <v>1204</v>
      </c>
      <c r="P88">
        <v>16</v>
      </c>
      <c r="Q88">
        <v>204</v>
      </c>
      <c r="R88" s="178">
        <v>0</v>
      </c>
      <c r="S88" s="178">
        <v>0</v>
      </c>
      <c r="T88">
        <v>65</v>
      </c>
      <c r="U88">
        <v>16</v>
      </c>
      <c r="V88">
        <v>49</v>
      </c>
      <c r="W88" s="178">
        <v>0</v>
      </c>
      <c r="X88" s="178">
        <v>0</v>
      </c>
      <c r="Y88">
        <v>816</v>
      </c>
      <c r="Z88">
        <v>810</v>
      </c>
      <c r="AA88">
        <v>3329</v>
      </c>
    </row>
    <row r="89" spans="1:27">
      <c r="A89" s="23">
        <v>44470</v>
      </c>
      <c r="B89" s="24" t="str">
        <f>VLOOKUP($J89,Sheet2!$A$2:$E$46,5,0)</f>
        <v>WF-2</v>
      </c>
      <c r="J89" t="s">
        <v>30</v>
      </c>
      <c r="L89">
        <v>1006</v>
      </c>
      <c r="M89">
        <v>1024</v>
      </c>
      <c r="N89">
        <v>208</v>
      </c>
      <c r="O89">
        <v>3548</v>
      </c>
      <c r="P89">
        <v>24</v>
      </c>
      <c r="Q89">
        <v>981</v>
      </c>
      <c r="R89" s="178">
        <v>0</v>
      </c>
      <c r="S89" s="178">
        <v>0</v>
      </c>
      <c r="T89">
        <v>191</v>
      </c>
      <c r="U89">
        <v>24</v>
      </c>
      <c r="V89">
        <v>167</v>
      </c>
      <c r="W89" s="178">
        <v>0</v>
      </c>
      <c r="X89" s="178">
        <v>0</v>
      </c>
      <c r="Y89">
        <v>2286</v>
      </c>
      <c r="Z89">
        <v>2249</v>
      </c>
      <c r="AA89">
        <v>9021</v>
      </c>
    </row>
    <row r="90" spans="1:27">
      <c r="A90" s="23">
        <v>44470</v>
      </c>
      <c r="B90" s="24" t="str">
        <f>VLOOKUP($J90,Sheet2!$A$2:$E$46,5,0)</f>
        <v>WF-1</v>
      </c>
      <c r="J90" t="s">
        <v>96</v>
      </c>
      <c r="L90">
        <v>9</v>
      </c>
      <c r="M90">
        <v>13</v>
      </c>
      <c r="N90">
        <v>9</v>
      </c>
      <c r="O90">
        <v>2377</v>
      </c>
      <c r="P90">
        <v>7</v>
      </c>
      <c r="Q90">
        <v>2</v>
      </c>
      <c r="R90" s="178">
        <v>0</v>
      </c>
      <c r="S90" s="178">
        <v>0</v>
      </c>
      <c r="T90">
        <v>8</v>
      </c>
      <c r="U90">
        <v>6</v>
      </c>
      <c r="V90">
        <v>2</v>
      </c>
      <c r="W90" s="178">
        <v>0</v>
      </c>
      <c r="X90" s="178">
        <v>0</v>
      </c>
      <c r="Y90">
        <v>1532</v>
      </c>
      <c r="Z90">
        <v>1520</v>
      </c>
      <c r="AA90">
        <v>6339</v>
      </c>
    </row>
    <row r="91" spans="1:27">
      <c r="A91" s="23">
        <v>44470</v>
      </c>
      <c r="B91" s="24" t="str">
        <f>VLOOKUP($J91,Sheet2!$A$2:$E$46,5,0)</f>
        <v>Total</v>
      </c>
      <c r="J91" t="s">
        <v>107</v>
      </c>
      <c r="L91">
        <v>5965</v>
      </c>
      <c r="M91">
        <v>6587</v>
      </c>
      <c r="N91">
        <v>3144</v>
      </c>
      <c r="O91">
        <v>101803</v>
      </c>
      <c r="P91">
        <v>2077</v>
      </c>
      <c r="Q91">
        <v>4031</v>
      </c>
      <c r="R91" s="178">
        <v>0</v>
      </c>
      <c r="S91" s="178">
        <v>0</v>
      </c>
      <c r="T91">
        <v>2773</v>
      </c>
      <c r="U91">
        <v>1159</v>
      </c>
      <c r="V91">
        <v>1605</v>
      </c>
      <c r="W91" s="178">
        <v>0</v>
      </c>
      <c r="X91" s="178">
        <v>0</v>
      </c>
      <c r="Y91">
        <v>70003</v>
      </c>
      <c r="Z91">
        <v>69264</v>
      </c>
      <c r="AA91">
        <v>268235</v>
      </c>
    </row>
    <row r="92" spans="1:27">
      <c r="A92" s="23">
        <v>44470</v>
      </c>
      <c r="B92" s="24" t="str">
        <f>VLOOKUP($J92,Sheet2!$A$2:$E$46,5,0)</f>
        <v>WF-1</v>
      </c>
      <c r="J92" t="s">
        <v>106</v>
      </c>
      <c r="L92">
        <v>20</v>
      </c>
      <c r="M92">
        <v>27</v>
      </c>
      <c r="N92">
        <v>28</v>
      </c>
      <c r="O92">
        <v>6792</v>
      </c>
      <c r="P92">
        <v>5</v>
      </c>
      <c r="Q92">
        <v>9</v>
      </c>
      <c r="T92">
        <v>20</v>
      </c>
      <c r="U92">
        <v>5</v>
      </c>
      <c r="V92">
        <v>9</v>
      </c>
      <c r="Y92">
        <v>5051</v>
      </c>
      <c r="Z92">
        <v>4543</v>
      </c>
      <c r="AA92">
        <v>16010</v>
      </c>
    </row>
    <row r="93" spans="1:27">
      <c r="A93" s="23">
        <v>44470</v>
      </c>
      <c r="B93" s="24" t="str">
        <f>VLOOKUP($J93,Sheet2!$A$2:$E$46,5,0)</f>
        <v>WF-4</v>
      </c>
      <c r="J93" t="s">
        <v>74</v>
      </c>
      <c r="L93">
        <v>29</v>
      </c>
      <c r="M93">
        <v>31</v>
      </c>
      <c r="N93">
        <v>13</v>
      </c>
      <c r="O93">
        <v>4099</v>
      </c>
      <c r="P93">
        <v>10</v>
      </c>
      <c r="Q93">
        <v>17</v>
      </c>
      <c r="T93">
        <v>12</v>
      </c>
      <c r="U93">
        <v>1</v>
      </c>
      <c r="V93">
        <v>8</v>
      </c>
      <c r="Y93">
        <v>2812</v>
      </c>
      <c r="Z93">
        <v>2580</v>
      </c>
      <c r="AA93">
        <v>9976</v>
      </c>
    </row>
    <row r="94" spans="1:27">
      <c r="A94" s="23">
        <v>44470</v>
      </c>
      <c r="B94" s="24" t="str">
        <f>VLOOKUP($J94,Sheet2!$A$2:$E$46,5,0)</f>
        <v>WF-1</v>
      </c>
      <c r="J94" t="s">
        <v>104</v>
      </c>
      <c r="L94">
        <v>74</v>
      </c>
      <c r="M94">
        <v>100</v>
      </c>
      <c r="N94">
        <v>145</v>
      </c>
      <c r="O94">
        <v>2869</v>
      </c>
      <c r="P94">
        <v>13</v>
      </c>
      <c r="Q94">
        <v>58</v>
      </c>
      <c r="T94">
        <v>115</v>
      </c>
      <c r="U94">
        <v>12</v>
      </c>
      <c r="V94">
        <v>92</v>
      </c>
      <c r="Y94">
        <v>2099</v>
      </c>
      <c r="Z94">
        <v>1941</v>
      </c>
      <c r="AA94">
        <v>7245</v>
      </c>
    </row>
    <row r="95" spans="1:27">
      <c r="A95" s="23">
        <v>44470</v>
      </c>
      <c r="B95" s="24" t="str">
        <f>VLOOKUP($J95,Sheet2!$A$2:$E$46,5,0)</f>
        <v>WF-3</v>
      </c>
      <c r="J95" t="s">
        <v>72</v>
      </c>
      <c r="L95">
        <v>33</v>
      </c>
      <c r="M95">
        <v>37</v>
      </c>
      <c r="N95">
        <v>63</v>
      </c>
      <c r="O95">
        <v>5484</v>
      </c>
      <c r="P95">
        <v>11</v>
      </c>
      <c r="Q95">
        <v>19</v>
      </c>
      <c r="T95">
        <v>60</v>
      </c>
      <c r="U95">
        <v>17</v>
      </c>
      <c r="V95">
        <v>32</v>
      </c>
      <c r="Y95">
        <v>3969</v>
      </c>
      <c r="Z95">
        <v>3590</v>
      </c>
      <c r="AA95">
        <v>15307</v>
      </c>
    </row>
    <row r="96" spans="1:27">
      <c r="A96" s="23">
        <v>44470</v>
      </c>
      <c r="B96" s="24" t="str">
        <f>VLOOKUP($J96,Sheet2!$A$2:$E$46,5,0)</f>
        <v>WF-1</v>
      </c>
      <c r="J96" t="s">
        <v>42</v>
      </c>
      <c r="L96">
        <v>3</v>
      </c>
      <c r="M96">
        <v>5</v>
      </c>
      <c r="N96">
        <v>1</v>
      </c>
      <c r="O96">
        <v>2134</v>
      </c>
      <c r="Q96">
        <v>3</v>
      </c>
      <c r="T96">
        <v>1</v>
      </c>
      <c r="V96">
        <v>1</v>
      </c>
      <c r="Y96">
        <v>1467</v>
      </c>
      <c r="Z96">
        <v>1382</v>
      </c>
      <c r="AA96">
        <v>5293</v>
      </c>
    </row>
    <row r="97" spans="1:27">
      <c r="A97" s="23">
        <v>44470</v>
      </c>
      <c r="B97" s="24" t="str">
        <f>VLOOKUP($J97,Sheet2!$A$2:$E$46,5,0)</f>
        <v>WF-7</v>
      </c>
      <c r="J97" t="s">
        <v>118</v>
      </c>
      <c r="L97" s="190">
        <v>357</v>
      </c>
      <c r="M97" s="190">
        <v>357</v>
      </c>
      <c r="N97" s="190">
        <v>36</v>
      </c>
      <c r="O97" s="190">
        <v>1046</v>
      </c>
      <c r="P97" s="190">
        <v>1</v>
      </c>
      <c r="Q97" s="190">
        <v>356</v>
      </c>
      <c r="R97" s="191">
        <v>0</v>
      </c>
      <c r="S97" s="191">
        <v>0</v>
      </c>
      <c r="T97" s="190">
        <v>36</v>
      </c>
      <c r="U97" s="190">
        <v>0</v>
      </c>
      <c r="V97" s="190">
        <v>36</v>
      </c>
      <c r="W97" s="191">
        <v>0</v>
      </c>
      <c r="X97" s="191">
        <v>0</v>
      </c>
      <c r="Y97" s="190">
        <v>1043</v>
      </c>
      <c r="Z97" s="190">
        <v>1043</v>
      </c>
    </row>
    <row r="98" spans="1:27">
      <c r="A98" s="23">
        <v>44470</v>
      </c>
      <c r="B98" s="24" t="str">
        <f>VLOOKUP($J98,Sheet2!$A$2:$E$46,5,0)</f>
        <v>WF-7</v>
      </c>
      <c r="J98" t="s">
        <v>116</v>
      </c>
      <c r="L98" s="190">
        <v>81</v>
      </c>
      <c r="M98" s="190">
        <v>81</v>
      </c>
      <c r="N98" s="190">
        <v>19</v>
      </c>
      <c r="O98" s="190">
        <v>2284</v>
      </c>
      <c r="P98" s="190">
        <v>3</v>
      </c>
      <c r="Q98" s="190">
        <v>79</v>
      </c>
      <c r="R98" s="191">
        <v>0</v>
      </c>
      <c r="S98" s="191">
        <v>0</v>
      </c>
      <c r="T98" s="190">
        <v>19</v>
      </c>
      <c r="U98" s="190">
        <v>0</v>
      </c>
      <c r="V98" s="190">
        <v>19</v>
      </c>
      <c r="W98" s="191">
        <v>0</v>
      </c>
      <c r="X98" s="191">
        <v>0</v>
      </c>
      <c r="Y98" s="190">
        <v>2279</v>
      </c>
      <c r="Z98" s="190">
        <v>2256</v>
      </c>
    </row>
    <row r="99" spans="1:27">
      <c r="A99" s="23">
        <v>44470</v>
      </c>
      <c r="B99" s="24" t="str">
        <f>VLOOKUP($J99,Sheet2!$A$2:$E$46,5,0)</f>
        <v>WF-7</v>
      </c>
      <c r="J99" t="s">
        <v>120</v>
      </c>
      <c r="L99" s="190">
        <v>197</v>
      </c>
      <c r="M99" s="190">
        <v>199</v>
      </c>
      <c r="N99" s="190">
        <v>40</v>
      </c>
      <c r="O99" s="190">
        <v>1464</v>
      </c>
      <c r="P99" s="190">
        <v>5</v>
      </c>
      <c r="Q99" s="190">
        <v>192</v>
      </c>
      <c r="R99" s="191">
        <v>0</v>
      </c>
      <c r="S99" s="191">
        <v>0</v>
      </c>
      <c r="T99" s="190">
        <v>39</v>
      </c>
      <c r="U99" s="190">
        <v>0</v>
      </c>
      <c r="V99" s="190">
        <v>39</v>
      </c>
      <c r="W99" s="191">
        <v>0</v>
      </c>
      <c r="X99" s="191">
        <v>0</v>
      </c>
      <c r="Y99" s="190">
        <v>1455</v>
      </c>
      <c r="Z99" s="190">
        <v>1452</v>
      </c>
    </row>
    <row r="100" spans="1:27">
      <c r="A100" s="23">
        <v>44470</v>
      </c>
      <c r="B100" s="24" t="str">
        <f>VLOOKUP($J100,Sheet2!$A$2:$E$46,5,0)</f>
        <v>WF-1</v>
      </c>
      <c r="J100" t="s">
        <v>113</v>
      </c>
      <c r="L100" s="190">
        <v>41</v>
      </c>
      <c r="M100" s="190">
        <v>41</v>
      </c>
      <c r="N100" s="190">
        <v>12</v>
      </c>
      <c r="O100" s="190">
        <v>1416</v>
      </c>
      <c r="P100" s="190">
        <v>3</v>
      </c>
      <c r="Q100" s="190">
        <v>39</v>
      </c>
      <c r="R100" s="191">
        <v>0</v>
      </c>
      <c r="S100" s="191">
        <v>0</v>
      </c>
      <c r="T100" s="190">
        <v>12</v>
      </c>
      <c r="U100" s="190">
        <v>0</v>
      </c>
      <c r="V100" s="190">
        <v>12</v>
      </c>
      <c r="W100" s="191">
        <v>0</v>
      </c>
      <c r="X100" s="191">
        <v>0</v>
      </c>
      <c r="Y100" s="190">
        <v>1407</v>
      </c>
      <c r="Z100" s="190">
        <v>1387</v>
      </c>
    </row>
    <row r="101" spans="1:27">
      <c r="A101" s="23">
        <v>44470</v>
      </c>
      <c r="B101" s="24" t="str">
        <f>VLOOKUP($J101,Sheet2!$A$2:$E$46,5,0)</f>
        <v>WF-1</v>
      </c>
      <c r="J101" t="s">
        <v>110</v>
      </c>
      <c r="L101" s="190">
        <v>94</v>
      </c>
      <c r="M101" s="190">
        <v>95</v>
      </c>
      <c r="N101" s="190">
        <v>36</v>
      </c>
      <c r="O101" s="190">
        <v>1290</v>
      </c>
      <c r="P101" s="190">
        <v>7</v>
      </c>
      <c r="Q101" s="190">
        <v>87</v>
      </c>
      <c r="R101" s="191">
        <v>0</v>
      </c>
      <c r="S101" s="191">
        <v>0</v>
      </c>
      <c r="T101" s="190">
        <v>35</v>
      </c>
      <c r="U101" s="190">
        <v>0</v>
      </c>
      <c r="V101" s="190">
        <v>35</v>
      </c>
      <c r="W101" s="191">
        <v>0</v>
      </c>
      <c r="X101" s="191">
        <v>0</v>
      </c>
      <c r="Y101" s="190">
        <v>1285</v>
      </c>
      <c r="Z101" s="190">
        <v>1272</v>
      </c>
    </row>
    <row r="102" spans="1:27">
      <c r="A102" s="23">
        <v>44562</v>
      </c>
      <c r="B102" s="24" t="e">
        <f>VLOOKUP($J102,Sheet2!$A$2:$E$46,5,0)</f>
        <v>#N/A</v>
      </c>
      <c r="C102" t="s">
        <v>185</v>
      </c>
      <c r="E102" t="s">
        <v>186</v>
      </c>
      <c r="G102" t="s">
        <v>187</v>
      </c>
      <c r="H102">
        <v>554190</v>
      </c>
      <c r="K102" t="s">
        <v>188</v>
      </c>
      <c r="L102" t="s">
        <v>189</v>
      </c>
      <c r="M102" t="s">
        <v>190</v>
      </c>
      <c r="N102" t="s">
        <v>191</v>
      </c>
      <c r="O102" t="s">
        <v>192</v>
      </c>
      <c r="P102" t="s">
        <v>193</v>
      </c>
      <c r="Q102" t="s">
        <v>194</v>
      </c>
      <c r="R102" t="s">
        <v>195</v>
      </c>
      <c r="S102" t="s">
        <v>196</v>
      </c>
      <c r="T102" t="s">
        <v>197</v>
      </c>
      <c r="U102" t="s">
        <v>198</v>
      </c>
      <c r="V102" t="s">
        <v>199</v>
      </c>
      <c r="W102" t="s">
        <v>200</v>
      </c>
      <c r="X102" t="s">
        <v>201</v>
      </c>
      <c r="Y102" t="s">
        <v>202</v>
      </c>
      <c r="Z102" t="s">
        <v>203</v>
      </c>
      <c r="AA102" t="s">
        <v>204</v>
      </c>
    </row>
    <row r="103" spans="1:27">
      <c r="A103" s="23">
        <v>44562</v>
      </c>
      <c r="B103" s="24" t="e">
        <f>VLOOKUP($J103,Sheet2!$A$2:$E$46,5,0)</f>
        <v>#N/A</v>
      </c>
      <c r="E103" s="8">
        <v>44565.592361111114</v>
      </c>
      <c r="G103" t="s">
        <v>205</v>
      </c>
      <c r="H103">
        <v>286402</v>
      </c>
      <c r="J103" t="s">
        <v>29</v>
      </c>
      <c r="R103"/>
      <c r="S103"/>
      <c r="W103"/>
      <c r="X103"/>
    </row>
    <row r="104" spans="1:27">
      <c r="A104" s="23">
        <v>44562</v>
      </c>
      <c r="B104" s="24" t="str">
        <f>VLOOKUP($J104,Sheet2!$A$2:$E$46,5,0)</f>
        <v>WF-6</v>
      </c>
      <c r="E104" t="s">
        <v>206</v>
      </c>
      <c r="G104" t="s">
        <v>207</v>
      </c>
      <c r="H104">
        <v>267788</v>
      </c>
      <c r="J104" t="s">
        <v>80</v>
      </c>
      <c r="L104">
        <v>41</v>
      </c>
      <c r="M104">
        <v>70</v>
      </c>
      <c r="N104">
        <v>41</v>
      </c>
      <c r="O104">
        <v>3346</v>
      </c>
      <c r="P104">
        <v>28</v>
      </c>
      <c r="Q104">
        <v>10</v>
      </c>
      <c r="R104">
        <v>3</v>
      </c>
      <c r="S104">
        <v>0</v>
      </c>
      <c r="T104">
        <v>35</v>
      </c>
      <c r="U104">
        <v>27</v>
      </c>
      <c r="V104">
        <v>8</v>
      </c>
      <c r="W104">
        <v>0</v>
      </c>
      <c r="X104">
        <v>0</v>
      </c>
      <c r="Y104">
        <v>2256</v>
      </c>
      <c r="Z104">
        <v>2236</v>
      </c>
      <c r="AA104">
        <v>7743</v>
      </c>
    </row>
    <row r="105" spans="1:27">
      <c r="A105" s="23">
        <v>44562</v>
      </c>
      <c r="B105" s="24" t="str">
        <f>VLOOKUP($J105,Sheet2!$A$2:$E$46,5,0)</f>
        <v>WF-1</v>
      </c>
      <c r="E105" s="7">
        <v>44562</v>
      </c>
      <c r="J105" t="s">
        <v>82</v>
      </c>
      <c r="L105">
        <v>59</v>
      </c>
      <c r="M105">
        <v>73</v>
      </c>
      <c r="N105">
        <v>68</v>
      </c>
      <c r="O105">
        <v>3363</v>
      </c>
      <c r="P105">
        <v>14</v>
      </c>
      <c r="Q105">
        <v>20</v>
      </c>
      <c r="R105">
        <v>25</v>
      </c>
      <c r="S105">
        <v>0</v>
      </c>
      <c r="T105">
        <v>55</v>
      </c>
      <c r="U105">
        <v>13</v>
      </c>
      <c r="V105">
        <v>19</v>
      </c>
      <c r="W105">
        <v>23</v>
      </c>
      <c r="X105">
        <v>0</v>
      </c>
      <c r="Y105">
        <v>2473</v>
      </c>
      <c r="Z105">
        <v>2459</v>
      </c>
      <c r="AA105">
        <v>9491</v>
      </c>
    </row>
    <row r="106" spans="1:27">
      <c r="A106" s="23">
        <v>44562</v>
      </c>
      <c r="B106" s="24" t="str">
        <f>VLOOKUP($J106,Sheet2!$A$2:$E$46,5,0)</f>
        <v>WF-7</v>
      </c>
      <c r="J106" t="s">
        <v>86</v>
      </c>
      <c r="L106">
        <v>40</v>
      </c>
      <c r="M106">
        <v>41</v>
      </c>
      <c r="N106">
        <v>41</v>
      </c>
      <c r="O106">
        <v>2706</v>
      </c>
      <c r="P106">
        <v>0</v>
      </c>
      <c r="Q106">
        <v>22</v>
      </c>
      <c r="R106">
        <v>18</v>
      </c>
      <c r="S106">
        <v>0</v>
      </c>
      <c r="T106">
        <v>40</v>
      </c>
      <c r="U106">
        <v>0</v>
      </c>
      <c r="V106">
        <v>22</v>
      </c>
      <c r="W106">
        <v>18</v>
      </c>
      <c r="X106">
        <v>0</v>
      </c>
      <c r="Y106">
        <v>1796</v>
      </c>
      <c r="Z106">
        <v>1785</v>
      </c>
      <c r="AA106">
        <v>6771</v>
      </c>
    </row>
    <row r="107" spans="1:27">
      <c r="A107" s="23">
        <v>44562</v>
      </c>
      <c r="B107" s="24" t="str">
        <f>VLOOKUP($J107,Sheet2!$A$2:$E$46,5,0)</f>
        <v>WF-3</v>
      </c>
      <c r="J107" t="s">
        <v>44</v>
      </c>
      <c r="L107">
        <v>9</v>
      </c>
      <c r="M107">
        <v>29</v>
      </c>
      <c r="N107">
        <v>9</v>
      </c>
      <c r="O107">
        <v>3882</v>
      </c>
      <c r="P107">
        <v>3</v>
      </c>
      <c r="Q107">
        <v>3</v>
      </c>
      <c r="R107">
        <v>3</v>
      </c>
      <c r="S107">
        <v>0</v>
      </c>
      <c r="T107">
        <v>6</v>
      </c>
      <c r="U107">
        <v>3</v>
      </c>
      <c r="V107">
        <v>3</v>
      </c>
      <c r="W107">
        <v>0</v>
      </c>
      <c r="X107">
        <v>0</v>
      </c>
      <c r="Y107">
        <v>2576</v>
      </c>
      <c r="Z107">
        <v>2551</v>
      </c>
      <c r="AA107">
        <v>9658</v>
      </c>
    </row>
    <row r="108" spans="1:27">
      <c r="A108" s="23">
        <v>44562</v>
      </c>
      <c r="B108" s="24" t="str">
        <f>VLOOKUP($J108,Sheet2!$A$2:$E$46,5,0)</f>
        <v>WF-7</v>
      </c>
      <c r="J108" t="s">
        <v>90</v>
      </c>
      <c r="L108">
        <v>23</v>
      </c>
      <c r="M108">
        <v>24</v>
      </c>
      <c r="N108">
        <v>24</v>
      </c>
      <c r="O108">
        <v>2779</v>
      </c>
      <c r="P108">
        <v>0</v>
      </c>
      <c r="Q108">
        <v>14</v>
      </c>
      <c r="R108">
        <v>6</v>
      </c>
      <c r="S108">
        <v>0</v>
      </c>
      <c r="T108">
        <v>23</v>
      </c>
      <c r="U108">
        <v>0</v>
      </c>
      <c r="V108">
        <v>6</v>
      </c>
      <c r="W108">
        <v>0</v>
      </c>
      <c r="X108">
        <v>0</v>
      </c>
      <c r="Y108">
        <v>1844</v>
      </c>
      <c r="Z108">
        <v>1820</v>
      </c>
      <c r="AA108">
        <v>8128</v>
      </c>
    </row>
    <row r="109" spans="1:27">
      <c r="A109" s="23">
        <v>44562</v>
      </c>
      <c r="B109" s="24" t="str">
        <f>VLOOKUP($J109,Sheet2!$A$2:$E$46,5,0)</f>
        <v>WF-4</v>
      </c>
      <c r="J109" t="s">
        <v>46</v>
      </c>
      <c r="L109">
        <v>452</v>
      </c>
      <c r="M109">
        <v>455</v>
      </c>
      <c r="N109">
        <v>328</v>
      </c>
      <c r="O109">
        <v>6174</v>
      </c>
      <c r="P109">
        <v>1</v>
      </c>
      <c r="Q109">
        <v>178</v>
      </c>
      <c r="R109">
        <v>288</v>
      </c>
      <c r="S109">
        <v>0</v>
      </c>
      <c r="T109">
        <v>328</v>
      </c>
      <c r="U109">
        <v>0</v>
      </c>
      <c r="V109">
        <v>139</v>
      </c>
      <c r="W109">
        <v>189</v>
      </c>
      <c r="X109">
        <v>0</v>
      </c>
      <c r="Y109">
        <v>4447</v>
      </c>
      <c r="Z109">
        <v>4399</v>
      </c>
      <c r="AA109">
        <v>14935</v>
      </c>
    </row>
    <row r="110" spans="1:27">
      <c r="A110" s="23">
        <v>44562</v>
      </c>
      <c r="B110" s="24" t="str">
        <f>VLOOKUP($J110,Sheet2!$A$2:$E$46,5,0)</f>
        <v>WF-3</v>
      </c>
      <c r="J110" t="s">
        <v>48</v>
      </c>
      <c r="L110">
        <v>64</v>
      </c>
      <c r="M110">
        <v>69</v>
      </c>
      <c r="N110">
        <v>64</v>
      </c>
      <c r="O110">
        <v>4033</v>
      </c>
      <c r="P110">
        <v>4</v>
      </c>
      <c r="Q110">
        <v>13</v>
      </c>
      <c r="R110">
        <v>47</v>
      </c>
      <c r="S110">
        <v>0</v>
      </c>
      <c r="T110">
        <v>61</v>
      </c>
      <c r="U110">
        <v>3</v>
      </c>
      <c r="V110">
        <v>11</v>
      </c>
      <c r="W110">
        <v>47</v>
      </c>
      <c r="X110">
        <v>0</v>
      </c>
      <c r="Y110">
        <v>2666</v>
      </c>
      <c r="Z110">
        <v>2620</v>
      </c>
      <c r="AA110">
        <v>11371</v>
      </c>
    </row>
    <row r="111" spans="1:27">
      <c r="A111" s="23">
        <v>44562</v>
      </c>
      <c r="B111" s="24" t="str">
        <f>VLOOKUP($J111,Sheet2!$A$2:$E$46,5,0)</f>
        <v>WF-4</v>
      </c>
      <c r="J111" t="s">
        <v>50</v>
      </c>
      <c r="L111">
        <v>1403</v>
      </c>
      <c r="M111">
        <v>1426</v>
      </c>
      <c r="N111">
        <v>356</v>
      </c>
      <c r="O111">
        <v>3310</v>
      </c>
      <c r="P111">
        <v>81</v>
      </c>
      <c r="Q111">
        <v>701</v>
      </c>
      <c r="R111">
        <v>668</v>
      </c>
      <c r="S111">
        <v>0</v>
      </c>
      <c r="T111">
        <v>341</v>
      </c>
      <c r="U111">
        <v>45</v>
      </c>
      <c r="V111">
        <v>161</v>
      </c>
      <c r="W111">
        <v>135</v>
      </c>
      <c r="X111">
        <v>0</v>
      </c>
      <c r="Y111">
        <v>2469</v>
      </c>
      <c r="Z111">
        <v>2457</v>
      </c>
      <c r="AA111">
        <v>10358</v>
      </c>
    </row>
    <row r="112" spans="1:27">
      <c r="A112" s="23">
        <v>44562</v>
      </c>
      <c r="B112" s="24" t="str">
        <f>VLOOKUP($J112,Sheet2!$A$2:$E$46,5,0)</f>
        <v>WF-5</v>
      </c>
      <c r="J112" t="s">
        <v>58</v>
      </c>
      <c r="L112">
        <v>57</v>
      </c>
      <c r="M112">
        <v>59</v>
      </c>
      <c r="N112">
        <v>58</v>
      </c>
      <c r="O112">
        <v>869</v>
      </c>
      <c r="P112">
        <v>19</v>
      </c>
      <c r="Q112">
        <v>20</v>
      </c>
      <c r="R112">
        <v>18</v>
      </c>
      <c r="S112">
        <v>0</v>
      </c>
      <c r="T112">
        <v>56</v>
      </c>
      <c r="U112">
        <v>18</v>
      </c>
      <c r="V112">
        <v>20</v>
      </c>
      <c r="W112">
        <v>18</v>
      </c>
      <c r="X112">
        <v>0</v>
      </c>
      <c r="Y112">
        <v>597</v>
      </c>
      <c r="Z112">
        <v>590</v>
      </c>
      <c r="AA112">
        <v>2020</v>
      </c>
    </row>
    <row r="113" spans="1:27">
      <c r="A113" s="23">
        <v>44562</v>
      </c>
      <c r="B113" s="24" t="str">
        <f>VLOOKUP($J113,Sheet2!$A$2:$E$46,5,0)</f>
        <v>WF-7</v>
      </c>
      <c r="J113" t="s">
        <v>98</v>
      </c>
      <c r="L113">
        <v>562</v>
      </c>
      <c r="M113">
        <v>578</v>
      </c>
      <c r="N113">
        <v>308</v>
      </c>
      <c r="O113">
        <v>5731</v>
      </c>
      <c r="P113">
        <v>182</v>
      </c>
      <c r="Q113">
        <v>254</v>
      </c>
      <c r="R113">
        <v>130</v>
      </c>
      <c r="S113">
        <v>0</v>
      </c>
      <c r="T113">
        <v>303</v>
      </c>
      <c r="U113">
        <v>129</v>
      </c>
      <c r="V113">
        <v>99</v>
      </c>
      <c r="W113">
        <v>75</v>
      </c>
      <c r="X113">
        <v>0</v>
      </c>
      <c r="Y113">
        <v>4024</v>
      </c>
      <c r="Z113">
        <v>3977</v>
      </c>
      <c r="AA113">
        <v>16682</v>
      </c>
    </row>
    <row r="114" spans="1:27">
      <c r="A114" s="23">
        <v>44562</v>
      </c>
      <c r="B114" s="24" t="str">
        <f>VLOOKUP($J114,Sheet2!$A$2:$E$46,5,0)</f>
        <v>WF-7</v>
      </c>
      <c r="J114" t="s">
        <v>92</v>
      </c>
      <c r="L114">
        <v>39</v>
      </c>
      <c r="M114">
        <v>68</v>
      </c>
      <c r="N114">
        <v>66</v>
      </c>
      <c r="O114">
        <v>2869</v>
      </c>
      <c r="P114">
        <v>3</v>
      </c>
      <c r="Q114">
        <v>19</v>
      </c>
      <c r="R114">
        <v>18</v>
      </c>
      <c r="S114">
        <v>0</v>
      </c>
      <c r="T114">
        <v>37</v>
      </c>
      <c r="U114">
        <v>0</v>
      </c>
      <c r="V114">
        <v>19</v>
      </c>
      <c r="W114">
        <v>18</v>
      </c>
      <c r="X114">
        <v>0</v>
      </c>
      <c r="Y114">
        <v>1982</v>
      </c>
      <c r="Z114">
        <v>1962</v>
      </c>
      <c r="AA114">
        <v>7233</v>
      </c>
    </row>
    <row r="115" spans="1:27">
      <c r="A115" s="23">
        <v>44562</v>
      </c>
      <c r="B115" s="24" t="str">
        <f>VLOOKUP($J115,Sheet2!$A$2:$E$46,5,0)</f>
        <v>WF-2</v>
      </c>
      <c r="J115" t="s">
        <v>34</v>
      </c>
      <c r="L115">
        <v>6</v>
      </c>
      <c r="M115">
        <v>9</v>
      </c>
      <c r="N115">
        <v>4</v>
      </c>
      <c r="O115">
        <v>3181</v>
      </c>
      <c r="P115">
        <v>4</v>
      </c>
      <c r="Q115">
        <v>2</v>
      </c>
      <c r="R115">
        <v>0</v>
      </c>
      <c r="S115">
        <v>0</v>
      </c>
      <c r="T115">
        <v>2</v>
      </c>
      <c r="U115">
        <v>2</v>
      </c>
      <c r="V115">
        <v>0</v>
      </c>
      <c r="W115">
        <v>0</v>
      </c>
      <c r="X115">
        <v>0</v>
      </c>
      <c r="Y115">
        <v>2175</v>
      </c>
      <c r="Z115">
        <v>2153</v>
      </c>
      <c r="AA115">
        <v>6927</v>
      </c>
    </row>
    <row r="116" spans="1:27">
      <c r="A116" s="23">
        <v>44562</v>
      </c>
      <c r="B116" s="24" t="str">
        <f>VLOOKUP($J116,Sheet2!$A$2:$E$46,5,0)</f>
        <v>WF-6</v>
      </c>
      <c r="J116" t="s">
        <v>84</v>
      </c>
      <c r="L116">
        <v>19</v>
      </c>
      <c r="M116">
        <v>58</v>
      </c>
      <c r="N116">
        <v>45</v>
      </c>
      <c r="O116">
        <v>2257</v>
      </c>
      <c r="P116">
        <v>0</v>
      </c>
      <c r="Q116">
        <v>15</v>
      </c>
      <c r="R116">
        <v>3</v>
      </c>
      <c r="S116">
        <v>0</v>
      </c>
      <c r="T116">
        <v>13</v>
      </c>
      <c r="U116">
        <v>0</v>
      </c>
      <c r="V116">
        <v>10</v>
      </c>
      <c r="W116">
        <v>3</v>
      </c>
      <c r="X116">
        <v>0</v>
      </c>
      <c r="Y116">
        <v>1606</v>
      </c>
      <c r="Z116">
        <v>1601</v>
      </c>
      <c r="AA116">
        <v>6191</v>
      </c>
    </row>
    <row r="117" spans="1:27">
      <c r="A117" s="23">
        <v>44562</v>
      </c>
      <c r="B117" s="24" t="str">
        <f>VLOOKUP($J117,Sheet2!$A$2:$E$46,5,0)</f>
        <v>WF-4</v>
      </c>
      <c r="J117" t="s">
        <v>70</v>
      </c>
      <c r="L117">
        <v>2</v>
      </c>
      <c r="M117">
        <v>2</v>
      </c>
      <c r="N117">
        <v>1</v>
      </c>
      <c r="O117">
        <v>1968</v>
      </c>
      <c r="P117">
        <v>0</v>
      </c>
      <c r="Q117">
        <v>1</v>
      </c>
      <c r="R117">
        <v>1</v>
      </c>
      <c r="S117">
        <v>0</v>
      </c>
      <c r="T117">
        <v>1</v>
      </c>
      <c r="U117">
        <v>0</v>
      </c>
      <c r="V117">
        <v>0</v>
      </c>
      <c r="W117">
        <v>1</v>
      </c>
      <c r="X117">
        <v>0</v>
      </c>
      <c r="Y117">
        <v>1335</v>
      </c>
      <c r="Z117">
        <v>1326</v>
      </c>
      <c r="AA117">
        <v>4967</v>
      </c>
    </row>
    <row r="118" spans="1:27">
      <c r="A118" s="23">
        <v>44562</v>
      </c>
      <c r="B118" s="24" t="str">
        <f>VLOOKUP($J118,Sheet2!$A$2:$E$46,5,0)</f>
        <v>WF-6</v>
      </c>
      <c r="J118" t="s">
        <v>76</v>
      </c>
      <c r="L118">
        <v>1064</v>
      </c>
      <c r="M118">
        <v>1133</v>
      </c>
      <c r="N118">
        <v>497</v>
      </c>
      <c r="O118">
        <v>5683</v>
      </c>
      <c r="P118">
        <v>312</v>
      </c>
      <c r="Q118">
        <v>173</v>
      </c>
      <c r="R118">
        <v>611</v>
      </c>
      <c r="S118">
        <v>0</v>
      </c>
      <c r="T118">
        <v>480</v>
      </c>
      <c r="U118">
        <v>235</v>
      </c>
      <c r="V118">
        <v>123</v>
      </c>
      <c r="W118">
        <v>122</v>
      </c>
      <c r="X118">
        <v>0</v>
      </c>
      <c r="Y118">
        <v>4131</v>
      </c>
      <c r="Z118">
        <v>4079</v>
      </c>
      <c r="AA118">
        <v>15376</v>
      </c>
    </row>
    <row r="119" spans="1:27">
      <c r="A119" s="23">
        <v>44562</v>
      </c>
      <c r="B119" s="24" t="str">
        <f>VLOOKUP($J119,Sheet2!$A$2:$E$46,5,0)</f>
        <v>WF-2</v>
      </c>
      <c r="J119" t="s">
        <v>40</v>
      </c>
      <c r="L119">
        <v>328</v>
      </c>
      <c r="M119">
        <v>496</v>
      </c>
      <c r="N119">
        <v>82</v>
      </c>
      <c r="O119">
        <v>2958</v>
      </c>
      <c r="P119">
        <v>30</v>
      </c>
      <c r="Q119">
        <v>102</v>
      </c>
      <c r="R119">
        <v>201</v>
      </c>
      <c r="S119">
        <v>0</v>
      </c>
      <c r="T119">
        <v>66</v>
      </c>
      <c r="U119">
        <v>10</v>
      </c>
      <c r="V119">
        <v>23</v>
      </c>
      <c r="W119">
        <v>33</v>
      </c>
      <c r="X119">
        <v>0</v>
      </c>
      <c r="Y119">
        <v>2142</v>
      </c>
      <c r="Z119">
        <v>2121</v>
      </c>
      <c r="AA119">
        <v>7911</v>
      </c>
    </row>
    <row r="120" spans="1:27">
      <c r="A120" s="23">
        <v>44562</v>
      </c>
      <c r="B120" s="24" t="str">
        <f>VLOOKUP($J120,Sheet2!$A$2:$E$46,5,0)</f>
        <v>WF-5</v>
      </c>
      <c r="J120" t="s">
        <v>54</v>
      </c>
      <c r="L120">
        <v>5</v>
      </c>
      <c r="M120">
        <v>16</v>
      </c>
      <c r="N120">
        <v>4</v>
      </c>
      <c r="O120">
        <v>2348</v>
      </c>
      <c r="P120">
        <v>2</v>
      </c>
      <c r="Q120">
        <v>3</v>
      </c>
      <c r="R120">
        <v>0</v>
      </c>
      <c r="S120">
        <v>0</v>
      </c>
      <c r="T120">
        <v>3</v>
      </c>
      <c r="U120">
        <v>2</v>
      </c>
      <c r="V120">
        <v>1</v>
      </c>
      <c r="W120">
        <v>0</v>
      </c>
      <c r="X120">
        <v>0</v>
      </c>
      <c r="Y120">
        <v>1616</v>
      </c>
      <c r="Z120">
        <v>1610</v>
      </c>
      <c r="AA120">
        <v>6394</v>
      </c>
    </row>
    <row r="121" spans="1:27">
      <c r="A121" s="23">
        <v>44562</v>
      </c>
      <c r="B121" s="24" t="str">
        <f>VLOOKUP($J121,Sheet2!$A$2:$E$46,5,0)</f>
        <v>WF-5</v>
      </c>
      <c r="J121" t="s">
        <v>64</v>
      </c>
      <c r="L121">
        <v>31</v>
      </c>
      <c r="M121">
        <v>36</v>
      </c>
      <c r="N121">
        <v>35</v>
      </c>
      <c r="O121">
        <v>2420</v>
      </c>
      <c r="P121">
        <v>0</v>
      </c>
      <c r="Q121">
        <v>25</v>
      </c>
      <c r="R121">
        <v>7</v>
      </c>
      <c r="S121">
        <v>0</v>
      </c>
      <c r="T121">
        <v>31</v>
      </c>
      <c r="U121">
        <v>0</v>
      </c>
      <c r="V121">
        <v>24</v>
      </c>
      <c r="W121">
        <v>7</v>
      </c>
      <c r="X121">
        <v>0</v>
      </c>
      <c r="Y121">
        <v>1601</v>
      </c>
      <c r="Z121">
        <v>1594</v>
      </c>
      <c r="AA121">
        <v>5900</v>
      </c>
    </row>
    <row r="122" spans="1:27">
      <c r="A122" s="23">
        <v>44562</v>
      </c>
      <c r="B122" s="24" t="str">
        <f>VLOOKUP($J122,Sheet2!$A$2:$E$46,5,0)</f>
        <v>WF-1</v>
      </c>
      <c r="J122" t="s">
        <v>88</v>
      </c>
      <c r="L122">
        <v>40</v>
      </c>
      <c r="M122">
        <v>86</v>
      </c>
      <c r="N122">
        <v>74</v>
      </c>
      <c r="O122">
        <v>2474</v>
      </c>
      <c r="P122">
        <v>18</v>
      </c>
      <c r="Q122">
        <v>14</v>
      </c>
      <c r="R122">
        <v>8</v>
      </c>
      <c r="S122">
        <v>0</v>
      </c>
      <c r="T122">
        <v>37</v>
      </c>
      <c r="U122">
        <v>17</v>
      </c>
      <c r="V122">
        <v>13</v>
      </c>
      <c r="W122">
        <v>7</v>
      </c>
      <c r="X122">
        <v>0</v>
      </c>
      <c r="Y122">
        <v>1824</v>
      </c>
      <c r="Z122">
        <v>1809</v>
      </c>
      <c r="AA122">
        <v>6933</v>
      </c>
    </row>
    <row r="123" spans="1:27">
      <c r="A123" s="23">
        <v>44562</v>
      </c>
      <c r="B123" s="24" t="str">
        <f>VLOOKUP($J123,Sheet2!$A$2:$E$46,5,0)</f>
        <v>WF-2</v>
      </c>
      <c r="J123" t="s">
        <v>32</v>
      </c>
      <c r="L123">
        <v>662</v>
      </c>
      <c r="M123">
        <v>672</v>
      </c>
      <c r="N123">
        <v>193</v>
      </c>
      <c r="O123">
        <v>5657</v>
      </c>
      <c r="P123">
        <v>240</v>
      </c>
      <c r="Q123">
        <v>268</v>
      </c>
      <c r="R123">
        <v>208</v>
      </c>
      <c r="S123">
        <v>0</v>
      </c>
      <c r="T123">
        <v>188</v>
      </c>
      <c r="U123">
        <v>37</v>
      </c>
      <c r="V123">
        <v>98</v>
      </c>
      <c r="W123">
        <v>53</v>
      </c>
      <c r="X123">
        <v>0</v>
      </c>
      <c r="Y123">
        <v>3669</v>
      </c>
      <c r="Z123">
        <v>3634</v>
      </c>
      <c r="AA123">
        <v>13287</v>
      </c>
    </row>
    <row r="124" spans="1:27">
      <c r="A124" s="23">
        <v>44562</v>
      </c>
      <c r="B124" s="24" t="str">
        <f>VLOOKUP($J124,Sheet2!$A$2:$E$46,5,0)</f>
        <v>WF-6</v>
      </c>
      <c r="J124" t="s">
        <v>102</v>
      </c>
      <c r="L124">
        <v>61</v>
      </c>
      <c r="M124">
        <v>163</v>
      </c>
      <c r="N124">
        <v>163</v>
      </c>
      <c r="O124">
        <v>3789</v>
      </c>
      <c r="P124">
        <v>27</v>
      </c>
      <c r="Q124">
        <v>14</v>
      </c>
      <c r="R124">
        <v>19</v>
      </c>
      <c r="S124">
        <v>0</v>
      </c>
      <c r="T124">
        <v>60</v>
      </c>
      <c r="U124">
        <v>27</v>
      </c>
      <c r="V124">
        <v>14</v>
      </c>
      <c r="W124">
        <v>19</v>
      </c>
      <c r="X124">
        <v>0</v>
      </c>
      <c r="Y124">
        <v>2582</v>
      </c>
      <c r="Z124">
        <v>2551</v>
      </c>
      <c r="AA124">
        <v>9406</v>
      </c>
    </row>
    <row r="125" spans="1:27">
      <c r="A125" s="23">
        <v>44562</v>
      </c>
      <c r="B125" s="24" t="str">
        <f>VLOOKUP($J125,Sheet2!$A$2:$E$46,5,0)</f>
        <v>WF-4</v>
      </c>
      <c r="J125" t="s">
        <v>62</v>
      </c>
      <c r="L125">
        <v>718</v>
      </c>
      <c r="M125">
        <v>731</v>
      </c>
      <c r="N125">
        <v>382</v>
      </c>
      <c r="O125">
        <v>3165</v>
      </c>
      <c r="P125">
        <v>611</v>
      </c>
      <c r="Q125">
        <v>138</v>
      </c>
      <c r="R125">
        <v>52</v>
      </c>
      <c r="S125">
        <v>0</v>
      </c>
      <c r="T125">
        <v>372</v>
      </c>
      <c r="U125">
        <v>213</v>
      </c>
      <c r="V125">
        <v>111</v>
      </c>
      <c r="W125">
        <v>48</v>
      </c>
      <c r="X125">
        <v>0</v>
      </c>
      <c r="Y125">
        <v>2233</v>
      </c>
      <c r="Z125">
        <v>2193</v>
      </c>
      <c r="AA125">
        <v>8075</v>
      </c>
    </row>
    <row r="126" spans="1:27">
      <c r="A126" s="23">
        <v>44562</v>
      </c>
      <c r="B126" s="24" t="str">
        <f>VLOOKUP($J126,Sheet2!$A$2:$E$46,5,0)</f>
        <v>WF-1</v>
      </c>
      <c r="J126" t="s">
        <v>38</v>
      </c>
      <c r="L126">
        <v>559</v>
      </c>
      <c r="M126">
        <v>594</v>
      </c>
      <c r="N126">
        <v>405</v>
      </c>
      <c r="O126">
        <v>3373</v>
      </c>
      <c r="P126">
        <v>121</v>
      </c>
      <c r="Q126">
        <v>339</v>
      </c>
      <c r="R126">
        <v>142</v>
      </c>
      <c r="S126">
        <v>0</v>
      </c>
      <c r="T126">
        <v>372</v>
      </c>
      <c r="U126">
        <v>89</v>
      </c>
      <c r="V126">
        <v>150</v>
      </c>
      <c r="W126">
        <v>133</v>
      </c>
      <c r="X126">
        <v>0</v>
      </c>
      <c r="Y126">
        <v>2354</v>
      </c>
      <c r="Z126">
        <v>2310</v>
      </c>
      <c r="AA126">
        <v>8437</v>
      </c>
    </row>
    <row r="127" spans="1:27">
      <c r="A127" s="23">
        <v>44562</v>
      </c>
      <c r="B127" s="24" t="str">
        <f>VLOOKUP($J127,Sheet2!$A$2:$E$46,5,0)</f>
        <v>WF-5</v>
      </c>
      <c r="J127" t="s">
        <v>66</v>
      </c>
      <c r="L127">
        <v>727</v>
      </c>
      <c r="M127">
        <v>883</v>
      </c>
      <c r="N127">
        <v>588</v>
      </c>
      <c r="O127">
        <v>5474</v>
      </c>
      <c r="P127">
        <v>202</v>
      </c>
      <c r="Q127">
        <v>335</v>
      </c>
      <c r="R127">
        <v>225</v>
      </c>
      <c r="S127">
        <v>0</v>
      </c>
      <c r="T127">
        <v>468</v>
      </c>
      <c r="U127">
        <v>155</v>
      </c>
      <c r="V127">
        <v>165</v>
      </c>
      <c r="W127">
        <v>147</v>
      </c>
      <c r="X127">
        <v>0</v>
      </c>
      <c r="Y127">
        <v>3611</v>
      </c>
      <c r="Z127">
        <v>3546</v>
      </c>
      <c r="AA127">
        <v>14888</v>
      </c>
    </row>
    <row r="128" spans="1:27">
      <c r="A128" s="23">
        <v>44562</v>
      </c>
      <c r="B128" s="24" t="str">
        <f>VLOOKUP($J128,Sheet2!$A$2:$E$46,5,0)</f>
        <v>WF-7</v>
      </c>
      <c r="J128" t="s">
        <v>94</v>
      </c>
      <c r="L128">
        <v>9</v>
      </c>
      <c r="M128">
        <v>11</v>
      </c>
      <c r="N128">
        <v>8</v>
      </c>
      <c r="O128">
        <v>2074</v>
      </c>
      <c r="P128">
        <v>3</v>
      </c>
      <c r="Q128">
        <v>4</v>
      </c>
      <c r="R128">
        <v>2</v>
      </c>
      <c r="S128">
        <v>0</v>
      </c>
      <c r="T128">
        <v>7</v>
      </c>
      <c r="U128">
        <v>3</v>
      </c>
      <c r="V128">
        <v>3</v>
      </c>
      <c r="W128">
        <v>1</v>
      </c>
      <c r="X128">
        <v>0</v>
      </c>
      <c r="Y128">
        <v>1508</v>
      </c>
      <c r="Z128">
        <v>1504</v>
      </c>
      <c r="AA128">
        <v>6272</v>
      </c>
    </row>
    <row r="129" spans="1:27">
      <c r="A129" s="23">
        <v>44562</v>
      </c>
      <c r="B129" s="24" t="str">
        <f>VLOOKUP($J129,Sheet2!$A$2:$E$46,5,0)</f>
        <v>WF-1</v>
      </c>
      <c r="J129" t="s">
        <v>100</v>
      </c>
      <c r="L129">
        <v>99</v>
      </c>
      <c r="M129">
        <v>106</v>
      </c>
      <c r="N129">
        <v>69</v>
      </c>
      <c r="O129">
        <v>1661</v>
      </c>
      <c r="P129">
        <v>27</v>
      </c>
      <c r="Q129">
        <v>47</v>
      </c>
      <c r="R129">
        <v>30</v>
      </c>
      <c r="S129">
        <v>0</v>
      </c>
      <c r="T129">
        <v>64</v>
      </c>
      <c r="U129">
        <v>13</v>
      </c>
      <c r="V129">
        <v>30</v>
      </c>
      <c r="W129">
        <v>21</v>
      </c>
      <c r="X129">
        <v>0</v>
      </c>
      <c r="Y129">
        <v>1277</v>
      </c>
      <c r="Z129">
        <v>1275</v>
      </c>
      <c r="AA129">
        <v>4374</v>
      </c>
    </row>
    <row r="130" spans="1:27">
      <c r="A130" s="23">
        <v>44562</v>
      </c>
      <c r="B130" s="24" t="str">
        <f>VLOOKUP($J130,Sheet2!$A$2:$E$46,5,0)</f>
        <v>WF-4</v>
      </c>
      <c r="J130" t="s">
        <v>52</v>
      </c>
      <c r="L130">
        <v>35</v>
      </c>
      <c r="M130">
        <v>39</v>
      </c>
      <c r="N130">
        <v>32</v>
      </c>
      <c r="O130">
        <v>2231</v>
      </c>
      <c r="P130">
        <v>18</v>
      </c>
      <c r="Q130">
        <v>11</v>
      </c>
      <c r="R130">
        <v>6</v>
      </c>
      <c r="S130">
        <v>0</v>
      </c>
      <c r="T130">
        <v>31</v>
      </c>
      <c r="U130">
        <v>17</v>
      </c>
      <c r="V130">
        <v>9</v>
      </c>
      <c r="W130">
        <v>5</v>
      </c>
      <c r="X130">
        <v>0</v>
      </c>
      <c r="Y130">
        <v>1567</v>
      </c>
      <c r="Z130">
        <v>1552</v>
      </c>
      <c r="AA130">
        <v>6837</v>
      </c>
    </row>
    <row r="131" spans="1:27">
      <c r="A131" s="23">
        <v>44562</v>
      </c>
      <c r="B131" s="24" t="str">
        <f>VLOOKUP($J131,Sheet2!$A$2:$E$46,5,0)</f>
        <v>WF-1</v>
      </c>
      <c r="J131" t="s">
        <v>36</v>
      </c>
      <c r="L131">
        <v>95</v>
      </c>
      <c r="M131">
        <v>102</v>
      </c>
      <c r="N131">
        <v>100</v>
      </c>
      <c r="O131">
        <v>1597</v>
      </c>
      <c r="P131">
        <v>3</v>
      </c>
      <c r="Q131">
        <v>35</v>
      </c>
      <c r="R131">
        <v>55</v>
      </c>
      <c r="S131">
        <v>0</v>
      </c>
      <c r="T131">
        <v>92</v>
      </c>
      <c r="U131">
        <v>2</v>
      </c>
      <c r="V131">
        <v>35</v>
      </c>
      <c r="W131">
        <v>55</v>
      </c>
      <c r="X131">
        <v>0</v>
      </c>
      <c r="Y131">
        <v>968</v>
      </c>
      <c r="Z131">
        <v>965</v>
      </c>
      <c r="AA131">
        <v>3887</v>
      </c>
    </row>
    <row r="132" spans="1:27">
      <c r="A132" s="23">
        <v>44562</v>
      </c>
      <c r="B132" s="24" t="str">
        <f>VLOOKUP($J132,Sheet2!$A$2:$E$46,5,0)</f>
        <v>WF-5</v>
      </c>
      <c r="J132" t="s">
        <v>60</v>
      </c>
      <c r="L132">
        <v>44</v>
      </c>
      <c r="M132">
        <v>49</v>
      </c>
      <c r="N132">
        <v>14</v>
      </c>
      <c r="O132">
        <v>1426</v>
      </c>
      <c r="P132">
        <v>39</v>
      </c>
      <c r="Q132">
        <v>5</v>
      </c>
      <c r="R132">
        <v>0</v>
      </c>
      <c r="S132">
        <v>0</v>
      </c>
      <c r="T132">
        <v>14</v>
      </c>
      <c r="U132">
        <v>11</v>
      </c>
      <c r="V132">
        <v>3</v>
      </c>
      <c r="W132">
        <v>0</v>
      </c>
      <c r="X132">
        <v>0</v>
      </c>
      <c r="Y132">
        <v>924</v>
      </c>
      <c r="Z132">
        <v>911</v>
      </c>
      <c r="AA132">
        <v>3787</v>
      </c>
    </row>
    <row r="133" spans="1:27">
      <c r="A133" s="23">
        <v>44562</v>
      </c>
      <c r="B133" s="24" t="str">
        <f>VLOOKUP($J133,Sheet2!$A$2:$E$46,5,0)</f>
        <v>WF-5</v>
      </c>
      <c r="J133" t="s">
        <v>68</v>
      </c>
      <c r="L133">
        <v>117</v>
      </c>
      <c r="M133">
        <v>119</v>
      </c>
      <c r="N133">
        <v>117</v>
      </c>
      <c r="O133">
        <v>1277</v>
      </c>
      <c r="P133">
        <v>44</v>
      </c>
      <c r="Q133">
        <v>37</v>
      </c>
      <c r="R133">
        <v>36</v>
      </c>
      <c r="S133">
        <v>0</v>
      </c>
      <c r="T133">
        <v>115</v>
      </c>
      <c r="U133">
        <v>44</v>
      </c>
      <c r="V133">
        <v>36</v>
      </c>
      <c r="W133">
        <v>35</v>
      </c>
      <c r="X133">
        <v>0</v>
      </c>
      <c r="Y133">
        <v>850</v>
      </c>
      <c r="Z133">
        <v>840</v>
      </c>
      <c r="AA133">
        <v>3547</v>
      </c>
    </row>
    <row r="134" spans="1:27">
      <c r="A134" s="23">
        <v>44562</v>
      </c>
      <c r="B134" s="24" t="str">
        <f>VLOOKUP($J134,Sheet2!$A$2:$E$46,5,0)</f>
        <v>WF-6</v>
      </c>
      <c r="J134" t="s">
        <v>78</v>
      </c>
      <c r="L134">
        <v>183</v>
      </c>
      <c r="M134">
        <v>200</v>
      </c>
      <c r="N134">
        <v>187</v>
      </c>
      <c r="O134">
        <v>1190</v>
      </c>
      <c r="P134">
        <v>2</v>
      </c>
      <c r="Q134">
        <v>38</v>
      </c>
      <c r="R134">
        <v>143</v>
      </c>
      <c r="S134">
        <v>0</v>
      </c>
      <c r="T134">
        <v>175</v>
      </c>
      <c r="U134">
        <v>2</v>
      </c>
      <c r="V134">
        <v>37</v>
      </c>
      <c r="W134">
        <v>136</v>
      </c>
      <c r="X134">
        <v>0</v>
      </c>
      <c r="Y134">
        <v>734</v>
      </c>
      <c r="Z134">
        <v>718</v>
      </c>
      <c r="AA134">
        <v>2894</v>
      </c>
    </row>
    <row r="135" spans="1:27">
      <c r="A135" s="23">
        <v>44562</v>
      </c>
      <c r="B135" s="24" t="str">
        <f>VLOOKUP($J135,Sheet2!$A$2:$E$46,5,0)</f>
        <v>WF-4</v>
      </c>
      <c r="J135" t="s">
        <v>56</v>
      </c>
      <c r="L135">
        <v>247</v>
      </c>
      <c r="M135">
        <v>247</v>
      </c>
      <c r="N135">
        <v>101</v>
      </c>
      <c r="O135">
        <v>1219</v>
      </c>
      <c r="P135">
        <v>16</v>
      </c>
      <c r="Q135">
        <v>207</v>
      </c>
      <c r="R135">
        <v>37</v>
      </c>
      <c r="S135">
        <v>0</v>
      </c>
      <c r="T135">
        <v>101</v>
      </c>
      <c r="U135">
        <v>16</v>
      </c>
      <c r="V135">
        <v>50</v>
      </c>
      <c r="W135">
        <v>35</v>
      </c>
      <c r="X135">
        <v>0</v>
      </c>
      <c r="Y135">
        <v>832</v>
      </c>
      <c r="Z135">
        <v>825</v>
      </c>
      <c r="AA135">
        <v>3370</v>
      </c>
    </row>
    <row r="136" spans="1:27">
      <c r="A136" s="23">
        <v>44562</v>
      </c>
      <c r="B136" s="24" t="str">
        <f>VLOOKUP($J136,Sheet2!$A$2:$E$46,5,0)</f>
        <v>WF-2</v>
      </c>
      <c r="J136" t="s">
        <v>30</v>
      </c>
      <c r="L136">
        <v>1184</v>
      </c>
      <c r="M136">
        <v>1207</v>
      </c>
      <c r="N136">
        <v>460</v>
      </c>
      <c r="O136">
        <v>3568</v>
      </c>
      <c r="P136">
        <v>26</v>
      </c>
      <c r="Q136">
        <v>982</v>
      </c>
      <c r="R136">
        <v>319</v>
      </c>
      <c r="S136">
        <v>0</v>
      </c>
      <c r="T136">
        <v>439</v>
      </c>
      <c r="U136">
        <v>25</v>
      </c>
      <c r="V136">
        <v>169</v>
      </c>
      <c r="W136">
        <v>245</v>
      </c>
      <c r="X136">
        <v>0</v>
      </c>
      <c r="Y136">
        <v>2285</v>
      </c>
      <c r="Z136">
        <v>2243</v>
      </c>
      <c r="AA136">
        <v>9075</v>
      </c>
    </row>
    <row r="137" spans="1:27">
      <c r="A137" s="23">
        <v>44562</v>
      </c>
      <c r="B137" s="24" t="str">
        <f>VLOOKUP($J137,Sheet2!$A$2:$E$46,5,0)</f>
        <v>WF-1</v>
      </c>
      <c r="J137" t="s">
        <v>96</v>
      </c>
      <c r="L137">
        <v>19</v>
      </c>
      <c r="M137">
        <v>24</v>
      </c>
      <c r="N137">
        <v>18</v>
      </c>
      <c r="O137">
        <v>2368</v>
      </c>
      <c r="P137">
        <v>7</v>
      </c>
      <c r="Q137">
        <v>2</v>
      </c>
      <c r="R137">
        <v>10</v>
      </c>
      <c r="S137">
        <v>0</v>
      </c>
      <c r="T137">
        <v>16</v>
      </c>
      <c r="U137">
        <v>6</v>
      </c>
      <c r="V137">
        <v>2</v>
      </c>
      <c r="W137">
        <v>8</v>
      </c>
      <c r="X137">
        <v>0</v>
      </c>
      <c r="Y137">
        <v>1536</v>
      </c>
      <c r="Z137">
        <v>1525</v>
      </c>
      <c r="AA137">
        <v>6271</v>
      </c>
    </row>
    <row r="138" spans="1:27">
      <c r="A138" s="23">
        <v>44562</v>
      </c>
      <c r="B138" s="24" t="str">
        <f>VLOOKUP($J138,Sheet2!$A$2:$E$46,5,0)</f>
        <v>Total</v>
      </c>
      <c r="J138" t="s">
        <v>107</v>
      </c>
      <c r="L138">
        <v>9003</v>
      </c>
      <c r="M138">
        <v>9875</v>
      </c>
      <c r="N138">
        <v>4942</v>
      </c>
      <c r="O138">
        <v>102420</v>
      </c>
      <c r="P138">
        <v>2087</v>
      </c>
      <c r="Q138">
        <v>4051</v>
      </c>
      <c r="R138">
        <v>3339</v>
      </c>
      <c r="S138">
        <v>0</v>
      </c>
      <c r="T138">
        <v>4432</v>
      </c>
      <c r="U138">
        <v>1164</v>
      </c>
      <c r="V138">
        <v>1613</v>
      </c>
      <c r="W138">
        <v>1637</v>
      </c>
      <c r="X138">
        <v>0</v>
      </c>
      <c r="Y138">
        <v>70490</v>
      </c>
      <c r="Z138">
        <v>69741</v>
      </c>
      <c r="AA138">
        <v>269396</v>
      </c>
    </row>
    <row r="139" spans="1:27">
      <c r="A139" s="23">
        <v>44562</v>
      </c>
      <c r="B139" s="24" t="str">
        <f>VLOOKUP($J139,Sheet2!$A$2:$E$46,5,0)</f>
        <v>WF-7</v>
      </c>
      <c r="J139" t="s">
        <v>118</v>
      </c>
      <c r="L139">
        <v>358</v>
      </c>
      <c r="M139">
        <v>358</v>
      </c>
      <c r="N139">
        <v>51</v>
      </c>
      <c r="O139">
        <v>1090</v>
      </c>
      <c r="P139">
        <v>1</v>
      </c>
      <c r="Q139">
        <v>356</v>
      </c>
      <c r="R139">
        <v>15</v>
      </c>
      <c r="S139" s="178">
        <v>0</v>
      </c>
      <c r="T139" s="178">
        <v>51</v>
      </c>
      <c r="U139">
        <v>0</v>
      </c>
      <c r="V139">
        <v>36</v>
      </c>
      <c r="W139">
        <v>15</v>
      </c>
      <c r="X139" s="178">
        <v>0</v>
      </c>
      <c r="Y139" s="178">
        <v>1085</v>
      </c>
      <c r="Z139">
        <v>1084</v>
      </c>
    </row>
    <row r="140" spans="1:27">
      <c r="A140" s="23">
        <v>44562</v>
      </c>
      <c r="B140" s="24" t="str">
        <f>VLOOKUP($J140,Sheet2!$A$2:$E$46,5,0)</f>
        <v>WF-7</v>
      </c>
      <c r="J140" t="s">
        <v>116</v>
      </c>
      <c r="L140">
        <v>97</v>
      </c>
      <c r="M140">
        <v>97</v>
      </c>
      <c r="N140">
        <v>32</v>
      </c>
      <c r="O140">
        <v>2321</v>
      </c>
      <c r="P140">
        <v>3</v>
      </c>
      <c r="Q140">
        <v>79</v>
      </c>
      <c r="R140">
        <v>16</v>
      </c>
      <c r="S140" s="178">
        <v>0</v>
      </c>
      <c r="T140" s="178">
        <v>32</v>
      </c>
      <c r="U140">
        <v>0</v>
      </c>
      <c r="V140">
        <v>19</v>
      </c>
      <c r="W140">
        <v>13</v>
      </c>
      <c r="X140" s="178">
        <v>0</v>
      </c>
      <c r="Y140" s="178">
        <v>2316</v>
      </c>
      <c r="Z140">
        <v>2293</v>
      </c>
    </row>
    <row r="141" spans="1:27">
      <c r="A141" s="23">
        <v>44562</v>
      </c>
      <c r="B141" s="24" t="str">
        <f>VLOOKUP($J141,Sheet2!$A$2:$E$46,5,0)</f>
        <v>WF-7</v>
      </c>
      <c r="J141" t="s">
        <v>120</v>
      </c>
      <c r="L141">
        <v>221</v>
      </c>
      <c r="M141">
        <v>224</v>
      </c>
      <c r="N141">
        <v>84</v>
      </c>
      <c r="O141">
        <v>1545</v>
      </c>
      <c r="P141">
        <v>5</v>
      </c>
      <c r="Q141">
        <v>192</v>
      </c>
      <c r="R141">
        <v>43</v>
      </c>
      <c r="S141" s="178">
        <v>0</v>
      </c>
      <c r="T141" s="178">
        <v>82</v>
      </c>
      <c r="U141">
        <v>0</v>
      </c>
      <c r="V141">
        <v>39</v>
      </c>
      <c r="W141">
        <v>43</v>
      </c>
      <c r="X141" s="178">
        <v>0</v>
      </c>
      <c r="Y141" s="178">
        <v>1536</v>
      </c>
      <c r="Z141">
        <v>1522</v>
      </c>
    </row>
    <row r="142" spans="1:27">
      <c r="A142" s="23">
        <v>44562</v>
      </c>
      <c r="B142" s="24" t="str">
        <f>VLOOKUP($J142,Sheet2!$A$2:$E$46,5,0)</f>
        <v>WF-1</v>
      </c>
      <c r="J142" t="s">
        <v>113</v>
      </c>
      <c r="L142">
        <v>48</v>
      </c>
      <c r="M142">
        <v>48</v>
      </c>
      <c r="N142">
        <v>20</v>
      </c>
      <c r="O142">
        <v>1451</v>
      </c>
      <c r="P142">
        <v>3</v>
      </c>
      <c r="Q142">
        <v>39</v>
      </c>
      <c r="R142">
        <v>8</v>
      </c>
      <c r="S142" s="178">
        <v>0</v>
      </c>
      <c r="T142" s="178">
        <v>20</v>
      </c>
      <c r="U142">
        <v>0</v>
      </c>
      <c r="V142">
        <v>12</v>
      </c>
      <c r="W142">
        <v>8</v>
      </c>
      <c r="X142" s="178">
        <v>0</v>
      </c>
      <c r="Y142" s="178">
        <v>1440</v>
      </c>
      <c r="Z142">
        <v>1421</v>
      </c>
    </row>
    <row r="143" spans="1:27">
      <c r="A143" s="23">
        <v>44562</v>
      </c>
      <c r="B143" s="24" t="str">
        <f>VLOOKUP($J143,Sheet2!$A$2:$E$46,5,0)</f>
        <v>WF-1</v>
      </c>
      <c r="J143" t="s">
        <v>110</v>
      </c>
      <c r="L143">
        <v>144</v>
      </c>
      <c r="M143">
        <v>146</v>
      </c>
      <c r="N143">
        <v>85</v>
      </c>
      <c r="O143">
        <v>1327</v>
      </c>
      <c r="P143">
        <v>7</v>
      </c>
      <c r="Q143">
        <v>87</v>
      </c>
      <c r="R143">
        <v>52</v>
      </c>
      <c r="S143" s="178">
        <v>0</v>
      </c>
      <c r="T143" s="178">
        <v>83</v>
      </c>
      <c r="U143">
        <v>0</v>
      </c>
      <c r="V143">
        <v>35</v>
      </c>
      <c r="W143">
        <v>48</v>
      </c>
      <c r="X143" s="178">
        <v>0</v>
      </c>
      <c r="Y143" s="178">
        <v>1322</v>
      </c>
      <c r="Z143">
        <v>1308</v>
      </c>
    </row>
    <row r="144" spans="1:27">
      <c r="A144" s="23">
        <v>44562</v>
      </c>
      <c r="B144" s="24" t="str">
        <f>VLOOKUP($J144,Sheet2!$A$2:$E$46,5,0)</f>
        <v>WF-4</v>
      </c>
      <c r="J144" t="s">
        <v>74</v>
      </c>
      <c r="L144">
        <v>45</v>
      </c>
      <c r="M144">
        <v>47</v>
      </c>
      <c r="N144">
        <v>33</v>
      </c>
      <c r="O144">
        <v>4102</v>
      </c>
      <c r="P144">
        <v>10</v>
      </c>
      <c r="Q144">
        <v>18</v>
      </c>
      <c r="R144" s="178">
        <v>16</v>
      </c>
      <c r="S144" s="178" t="s">
        <v>208</v>
      </c>
      <c r="T144">
        <v>32</v>
      </c>
      <c r="U144">
        <v>1</v>
      </c>
      <c r="V144">
        <v>8</v>
      </c>
      <c r="W144" s="178">
        <v>17</v>
      </c>
      <c r="X144" s="178" t="s">
        <v>208</v>
      </c>
      <c r="Y144">
        <v>2828</v>
      </c>
      <c r="Z144">
        <v>2595</v>
      </c>
      <c r="AA144">
        <v>9926</v>
      </c>
    </row>
    <row r="145" spans="1:27">
      <c r="A145" s="23">
        <v>44562</v>
      </c>
      <c r="B145" s="24" t="str">
        <f>VLOOKUP($J145,Sheet2!$A$2:$E$46,5,0)</f>
        <v>WF-1</v>
      </c>
      <c r="J145" t="s">
        <v>104</v>
      </c>
      <c r="L145">
        <v>78</v>
      </c>
      <c r="M145">
        <v>113</v>
      </c>
      <c r="N145">
        <v>162</v>
      </c>
      <c r="O145">
        <v>2874</v>
      </c>
      <c r="P145">
        <v>13</v>
      </c>
      <c r="Q145">
        <v>57</v>
      </c>
      <c r="R145" s="178">
        <v>8</v>
      </c>
      <c r="S145" s="178" t="s">
        <v>208</v>
      </c>
      <c r="T145">
        <v>121</v>
      </c>
      <c r="U145">
        <v>12</v>
      </c>
      <c r="V145">
        <v>91</v>
      </c>
      <c r="W145" s="178">
        <v>12</v>
      </c>
      <c r="X145" s="178" t="s">
        <v>208</v>
      </c>
      <c r="Y145">
        <v>2112</v>
      </c>
      <c r="Z145">
        <v>1954</v>
      </c>
      <c r="AA145">
        <v>7223</v>
      </c>
    </row>
    <row r="146" spans="1:27">
      <c r="A146" s="23">
        <v>44562</v>
      </c>
      <c r="B146" s="24" t="str">
        <f>VLOOKUP($J146,Sheet2!$A$2:$E$46,5,0)</f>
        <v>WF-1</v>
      </c>
      <c r="J146" t="s">
        <v>106</v>
      </c>
      <c r="L146">
        <v>79</v>
      </c>
      <c r="M146">
        <v>92</v>
      </c>
      <c r="N146">
        <v>53</v>
      </c>
      <c r="O146">
        <v>6783</v>
      </c>
      <c r="P146">
        <v>5</v>
      </c>
      <c r="Q146">
        <v>9</v>
      </c>
      <c r="R146" s="178">
        <v>62</v>
      </c>
      <c r="S146" s="178" t="s">
        <v>208</v>
      </c>
      <c r="T146">
        <v>40</v>
      </c>
      <c r="U146">
        <v>5</v>
      </c>
      <c r="V146">
        <v>9</v>
      </c>
      <c r="W146" s="178">
        <v>24</v>
      </c>
      <c r="X146" s="178" t="s">
        <v>208</v>
      </c>
      <c r="Y146">
        <v>5045</v>
      </c>
      <c r="Z146">
        <v>4544</v>
      </c>
      <c r="AA146">
        <v>15925</v>
      </c>
    </row>
    <row r="147" spans="1:27">
      <c r="A147" s="23">
        <v>44562</v>
      </c>
      <c r="B147" s="24" t="str">
        <f>VLOOKUP($J147,Sheet2!$A$2:$E$46,5,0)</f>
        <v>WF-3</v>
      </c>
      <c r="J147" t="s">
        <v>72</v>
      </c>
      <c r="L147">
        <v>55</v>
      </c>
      <c r="M147">
        <v>60</v>
      </c>
      <c r="N147">
        <v>93</v>
      </c>
      <c r="O147">
        <v>5514</v>
      </c>
      <c r="P147">
        <v>10</v>
      </c>
      <c r="Q147">
        <v>20</v>
      </c>
      <c r="R147" s="178">
        <v>23</v>
      </c>
      <c r="S147" s="178" t="s">
        <v>208</v>
      </c>
      <c r="T147">
        <v>87</v>
      </c>
      <c r="U147">
        <v>16</v>
      </c>
      <c r="V147">
        <v>32</v>
      </c>
      <c r="W147" s="178">
        <v>31</v>
      </c>
      <c r="X147" s="178" t="s">
        <v>208</v>
      </c>
      <c r="Y147">
        <v>3979</v>
      </c>
      <c r="Z147">
        <v>3602</v>
      </c>
      <c r="AA147">
        <v>15206</v>
      </c>
    </row>
    <row r="148" spans="1:27">
      <c r="A148" s="23">
        <v>44562</v>
      </c>
      <c r="B148" s="24" t="str">
        <f>VLOOKUP($J148,Sheet2!$A$2:$E$46,5,0)</f>
        <v>WF-1</v>
      </c>
      <c r="J148" t="s">
        <v>42</v>
      </c>
      <c r="L148">
        <v>3</v>
      </c>
      <c r="M148">
        <v>5</v>
      </c>
      <c r="N148">
        <v>2</v>
      </c>
      <c r="O148">
        <v>2123</v>
      </c>
      <c r="P148">
        <v>0</v>
      </c>
      <c r="Q148">
        <v>2</v>
      </c>
      <c r="R148" s="178">
        <v>1</v>
      </c>
      <c r="S148" s="178" t="s">
        <v>208</v>
      </c>
      <c r="T148">
        <v>2</v>
      </c>
      <c r="U148">
        <v>0</v>
      </c>
      <c r="V148">
        <v>1</v>
      </c>
      <c r="W148" s="178">
        <v>1</v>
      </c>
      <c r="X148" s="178" t="s">
        <v>208</v>
      </c>
      <c r="Y148">
        <v>1469</v>
      </c>
      <c r="Z148">
        <v>1378</v>
      </c>
      <c r="AA148">
        <v>5253</v>
      </c>
    </row>
    <row r="149" spans="1:27">
      <c r="A149" s="23">
        <v>44652</v>
      </c>
      <c r="B149" s="24" t="e">
        <f>VLOOKUP($J149,Sheet2!$A$2:$E$46,5,0)</f>
        <v>#N/A</v>
      </c>
      <c r="C149" t="s">
        <v>185</v>
      </c>
      <c r="E149" t="s">
        <v>186</v>
      </c>
      <c r="G149" t="s">
        <v>187</v>
      </c>
      <c r="H149">
        <v>576723</v>
      </c>
      <c r="K149" t="s">
        <v>188</v>
      </c>
      <c r="L149" t="s">
        <v>189</v>
      </c>
      <c r="M149" t="s">
        <v>190</v>
      </c>
      <c r="N149" t="s">
        <v>191</v>
      </c>
      <c r="O149" t="s">
        <v>192</v>
      </c>
      <c r="P149" t="s">
        <v>193</v>
      </c>
      <c r="Q149" t="s">
        <v>194</v>
      </c>
      <c r="R149" t="s">
        <v>195</v>
      </c>
      <c r="S149" t="s">
        <v>196</v>
      </c>
      <c r="T149" t="s">
        <v>197</v>
      </c>
      <c r="U149" t="s">
        <v>198</v>
      </c>
      <c r="V149" t="s">
        <v>199</v>
      </c>
      <c r="W149" t="s">
        <v>200</v>
      </c>
      <c r="X149" t="s">
        <v>201</v>
      </c>
      <c r="Y149" t="s">
        <v>202</v>
      </c>
      <c r="Z149" t="s">
        <v>203</v>
      </c>
      <c r="AA149" t="s">
        <v>204</v>
      </c>
    </row>
    <row r="150" spans="1:27">
      <c r="A150" s="23">
        <v>44652</v>
      </c>
      <c r="B150" s="24" t="e">
        <f>VLOOKUP($J150,Sheet2!$A$2:$E$46,5,0)</f>
        <v>#N/A</v>
      </c>
      <c r="E150" s="8">
        <v>44664.643750000003</v>
      </c>
      <c r="G150" t="s">
        <v>205</v>
      </c>
      <c r="H150">
        <v>298542</v>
      </c>
      <c r="J150" t="s">
        <v>29</v>
      </c>
      <c r="R150"/>
      <c r="S150"/>
      <c r="W150"/>
      <c r="X150"/>
    </row>
    <row r="151" spans="1:27">
      <c r="A151" s="23">
        <v>44652</v>
      </c>
      <c r="B151" s="24" t="str">
        <f>VLOOKUP($J151,Sheet2!$A$2:$E$46,5,0)</f>
        <v>WF-6</v>
      </c>
      <c r="E151" t="s">
        <v>206</v>
      </c>
      <c r="G151" t="s">
        <v>207</v>
      </c>
      <c r="H151">
        <v>278181</v>
      </c>
      <c r="J151" t="s">
        <v>80</v>
      </c>
      <c r="L151">
        <v>55</v>
      </c>
      <c r="M151">
        <v>109</v>
      </c>
      <c r="N151">
        <v>51</v>
      </c>
      <c r="O151">
        <v>3343</v>
      </c>
      <c r="P151">
        <v>28</v>
      </c>
      <c r="Q151">
        <v>10</v>
      </c>
      <c r="R151">
        <v>3</v>
      </c>
      <c r="S151">
        <v>14</v>
      </c>
      <c r="T151">
        <v>40</v>
      </c>
      <c r="U151">
        <v>27</v>
      </c>
      <c r="V151">
        <v>8</v>
      </c>
      <c r="W151">
        <v>0</v>
      </c>
      <c r="X151">
        <v>5</v>
      </c>
      <c r="Y151">
        <v>2241</v>
      </c>
      <c r="Z151">
        <v>2220</v>
      </c>
      <c r="AA151">
        <v>7727</v>
      </c>
    </row>
    <row r="152" spans="1:27">
      <c r="A152" s="23">
        <v>44652</v>
      </c>
      <c r="B152" s="24" t="str">
        <f>VLOOKUP($J152,Sheet2!$A$2:$E$46,5,0)</f>
        <v>WF-1</v>
      </c>
      <c r="E152" s="7">
        <v>44652</v>
      </c>
      <c r="J152" t="s">
        <v>82</v>
      </c>
      <c r="L152">
        <v>455</v>
      </c>
      <c r="M152">
        <v>486</v>
      </c>
      <c r="N152">
        <v>153</v>
      </c>
      <c r="O152">
        <v>3394</v>
      </c>
      <c r="P152">
        <v>14</v>
      </c>
      <c r="Q152">
        <v>20</v>
      </c>
      <c r="R152">
        <v>26</v>
      </c>
      <c r="S152">
        <v>395</v>
      </c>
      <c r="T152">
        <v>134</v>
      </c>
      <c r="U152">
        <v>13</v>
      </c>
      <c r="V152">
        <v>19</v>
      </c>
      <c r="W152">
        <v>24</v>
      </c>
      <c r="X152">
        <v>78</v>
      </c>
      <c r="Y152">
        <v>2499</v>
      </c>
      <c r="Z152">
        <v>2482</v>
      </c>
      <c r="AA152">
        <v>9502</v>
      </c>
    </row>
    <row r="153" spans="1:27">
      <c r="A153" s="23">
        <v>44652</v>
      </c>
      <c r="B153" s="24" t="str">
        <f>VLOOKUP($J153,Sheet2!$A$2:$E$46,5,0)</f>
        <v>WF-7</v>
      </c>
      <c r="J153" t="s">
        <v>86</v>
      </c>
      <c r="L153">
        <v>72</v>
      </c>
      <c r="M153">
        <v>76</v>
      </c>
      <c r="N153">
        <v>74</v>
      </c>
      <c r="O153">
        <v>2721</v>
      </c>
      <c r="P153">
        <v>0</v>
      </c>
      <c r="Q153">
        <v>23</v>
      </c>
      <c r="R153">
        <v>18</v>
      </c>
      <c r="S153">
        <v>31</v>
      </c>
      <c r="T153">
        <v>70</v>
      </c>
      <c r="U153">
        <v>0</v>
      </c>
      <c r="V153">
        <v>22</v>
      </c>
      <c r="W153">
        <v>18</v>
      </c>
      <c r="X153">
        <v>30</v>
      </c>
      <c r="Y153">
        <v>1817</v>
      </c>
      <c r="Z153">
        <v>1809</v>
      </c>
      <c r="AA153">
        <v>6812</v>
      </c>
    </row>
    <row r="154" spans="1:27">
      <c r="A154" s="23">
        <v>44652</v>
      </c>
      <c r="B154" s="24" t="str">
        <f>VLOOKUP($J154,Sheet2!$A$2:$E$46,5,0)</f>
        <v>WF-3</v>
      </c>
      <c r="J154" t="s">
        <v>44</v>
      </c>
      <c r="L154">
        <v>688</v>
      </c>
      <c r="M154">
        <v>729</v>
      </c>
      <c r="N154">
        <v>50</v>
      </c>
      <c r="O154">
        <v>3911</v>
      </c>
      <c r="P154">
        <v>4</v>
      </c>
      <c r="Q154">
        <v>3</v>
      </c>
      <c r="R154">
        <v>3</v>
      </c>
      <c r="S154">
        <v>678</v>
      </c>
      <c r="T154">
        <v>37</v>
      </c>
      <c r="U154">
        <v>4</v>
      </c>
      <c r="V154">
        <v>3</v>
      </c>
      <c r="W154">
        <v>0</v>
      </c>
      <c r="X154">
        <v>30</v>
      </c>
      <c r="Y154">
        <v>2592</v>
      </c>
      <c r="Z154">
        <v>2567</v>
      </c>
      <c r="AA154">
        <v>9696</v>
      </c>
    </row>
    <row r="155" spans="1:27">
      <c r="A155" s="23">
        <v>44652</v>
      </c>
      <c r="B155" s="24" t="str">
        <f>VLOOKUP($J155,Sheet2!$A$2:$E$46,5,0)</f>
        <v>WF-7</v>
      </c>
      <c r="J155" t="s">
        <v>90</v>
      </c>
      <c r="L155">
        <v>61</v>
      </c>
      <c r="M155">
        <v>65</v>
      </c>
      <c r="N155">
        <v>64</v>
      </c>
      <c r="O155">
        <v>2806</v>
      </c>
      <c r="P155">
        <v>0</v>
      </c>
      <c r="Q155">
        <v>14</v>
      </c>
      <c r="R155">
        <v>6</v>
      </c>
      <c r="S155">
        <v>36</v>
      </c>
      <c r="T155">
        <v>60</v>
      </c>
      <c r="U155">
        <v>0</v>
      </c>
      <c r="V155">
        <v>6</v>
      </c>
      <c r="W155">
        <v>0</v>
      </c>
      <c r="X155">
        <v>11</v>
      </c>
      <c r="Y155">
        <v>1871</v>
      </c>
      <c r="Z155">
        <v>1848</v>
      </c>
      <c r="AA155">
        <v>8160</v>
      </c>
    </row>
    <row r="156" spans="1:27">
      <c r="A156" s="23">
        <v>44652</v>
      </c>
      <c r="B156" s="24" t="str">
        <f>VLOOKUP($J156,Sheet2!$A$2:$E$46,5,0)</f>
        <v>WF-4</v>
      </c>
      <c r="J156" t="s">
        <v>46</v>
      </c>
      <c r="L156">
        <v>694</v>
      </c>
      <c r="M156">
        <v>704</v>
      </c>
      <c r="N156">
        <v>480</v>
      </c>
      <c r="O156">
        <v>6144</v>
      </c>
      <c r="P156">
        <v>1</v>
      </c>
      <c r="Q156">
        <v>180</v>
      </c>
      <c r="R156">
        <v>289</v>
      </c>
      <c r="S156">
        <v>244</v>
      </c>
      <c r="T156">
        <v>476</v>
      </c>
      <c r="U156">
        <v>0</v>
      </c>
      <c r="V156">
        <v>139</v>
      </c>
      <c r="W156">
        <v>189</v>
      </c>
      <c r="X156">
        <v>147</v>
      </c>
      <c r="Y156">
        <v>4430</v>
      </c>
      <c r="Z156">
        <v>4380</v>
      </c>
      <c r="AA156">
        <v>14732</v>
      </c>
    </row>
    <row r="157" spans="1:27">
      <c r="A157" s="23">
        <v>44652</v>
      </c>
      <c r="B157" s="24" t="str">
        <f>VLOOKUP($J157,Sheet2!$A$2:$E$46,5,0)</f>
        <v>WF-3</v>
      </c>
      <c r="J157" t="s">
        <v>48</v>
      </c>
      <c r="L157">
        <v>83</v>
      </c>
      <c r="M157">
        <v>89</v>
      </c>
      <c r="N157">
        <v>83</v>
      </c>
      <c r="O157">
        <v>3962</v>
      </c>
      <c r="P157">
        <v>5</v>
      </c>
      <c r="Q157">
        <v>13</v>
      </c>
      <c r="R157">
        <v>48</v>
      </c>
      <c r="S157">
        <v>17</v>
      </c>
      <c r="T157">
        <v>79</v>
      </c>
      <c r="U157">
        <v>3</v>
      </c>
      <c r="V157">
        <v>11</v>
      </c>
      <c r="W157">
        <v>48</v>
      </c>
      <c r="X157">
        <v>17</v>
      </c>
      <c r="Y157">
        <v>2610</v>
      </c>
      <c r="Z157">
        <v>2562</v>
      </c>
      <c r="AA157">
        <v>11103</v>
      </c>
    </row>
    <row r="158" spans="1:27">
      <c r="A158" s="23">
        <v>44652</v>
      </c>
      <c r="B158" s="24" t="str">
        <f>VLOOKUP($J158,Sheet2!$A$2:$E$46,5,0)</f>
        <v>WF-4</v>
      </c>
      <c r="J158" t="s">
        <v>50</v>
      </c>
      <c r="L158">
        <v>1493</v>
      </c>
      <c r="M158">
        <v>1523</v>
      </c>
      <c r="N158">
        <v>436</v>
      </c>
      <c r="O158">
        <v>3425</v>
      </c>
      <c r="P158">
        <v>81</v>
      </c>
      <c r="Q158">
        <v>702</v>
      </c>
      <c r="R158">
        <v>668</v>
      </c>
      <c r="S158">
        <v>133</v>
      </c>
      <c r="T158">
        <v>419</v>
      </c>
      <c r="U158">
        <v>45</v>
      </c>
      <c r="V158">
        <v>161</v>
      </c>
      <c r="W158">
        <v>135</v>
      </c>
      <c r="X158">
        <v>78</v>
      </c>
      <c r="Y158">
        <v>2576</v>
      </c>
      <c r="Z158">
        <v>2564</v>
      </c>
      <c r="AA158">
        <v>10801</v>
      </c>
    </row>
    <row r="159" spans="1:27">
      <c r="A159" s="23">
        <v>44652</v>
      </c>
      <c r="B159" s="24" t="str">
        <f>VLOOKUP($J159,Sheet2!$A$2:$E$46,5,0)</f>
        <v>WF-5</v>
      </c>
      <c r="J159" t="s">
        <v>58</v>
      </c>
      <c r="L159">
        <v>116</v>
      </c>
      <c r="M159">
        <v>119</v>
      </c>
      <c r="N159">
        <v>115</v>
      </c>
      <c r="O159">
        <v>868</v>
      </c>
      <c r="P159">
        <v>19</v>
      </c>
      <c r="Q159">
        <v>20</v>
      </c>
      <c r="R159">
        <v>18</v>
      </c>
      <c r="S159">
        <v>59</v>
      </c>
      <c r="T159">
        <v>112</v>
      </c>
      <c r="U159">
        <v>18</v>
      </c>
      <c r="V159">
        <v>20</v>
      </c>
      <c r="W159">
        <v>18</v>
      </c>
      <c r="X159">
        <v>56</v>
      </c>
      <c r="Y159">
        <v>594</v>
      </c>
      <c r="Z159">
        <v>584</v>
      </c>
      <c r="AA159">
        <v>2025</v>
      </c>
    </row>
    <row r="160" spans="1:27">
      <c r="A160" s="23">
        <v>44652</v>
      </c>
      <c r="B160" s="24" t="str">
        <f>VLOOKUP($J160,Sheet2!$A$2:$E$46,5,0)</f>
        <v>WF-7</v>
      </c>
      <c r="J160" t="s">
        <v>98</v>
      </c>
      <c r="L160">
        <v>730</v>
      </c>
      <c r="M160">
        <v>749</v>
      </c>
      <c r="N160">
        <v>403</v>
      </c>
      <c r="O160">
        <v>5739</v>
      </c>
      <c r="P160">
        <v>182</v>
      </c>
      <c r="Q160">
        <v>255</v>
      </c>
      <c r="R160">
        <v>137</v>
      </c>
      <c r="S160">
        <v>171</v>
      </c>
      <c r="T160">
        <v>396</v>
      </c>
      <c r="U160">
        <v>129</v>
      </c>
      <c r="V160">
        <v>100</v>
      </c>
      <c r="W160">
        <v>79</v>
      </c>
      <c r="X160">
        <v>88</v>
      </c>
      <c r="Y160">
        <v>4028</v>
      </c>
      <c r="Z160">
        <v>3980</v>
      </c>
      <c r="AA160">
        <v>16560</v>
      </c>
    </row>
    <row r="161" spans="1:27">
      <c r="A161" s="23">
        <v>44652</v>
      </c>
      <c r="B161" s="24" t="str">
        <f>VLOOKUP($J161,Sheet2!$A$2:$E$46,5,0)</f>
        <v>WF-7</v>
      </c>
      <c r="J161" t="s">
        <v>92</v>
      </c>
      <c r="L161">
        <v>88</v>
      </c>
      <c r="M161">
        <v>137</v>
      </c>
      <c r="N161">
        <v>135</v>
      </c>
      <c r="O161">
        <v>2858</v>
      </c>
      <c r="P161">
        <v>3</v>
      </c>
      <c r="Q161">
        <v>21</v>
      </c>
      <c r="R161">
        <v>19</v>
      </c>
      <c r="S161">
        <v>46</v>
      </c>
      <c r="T161">
        <v>86</v>
      </c>
      <c r="U161">
        <v>0</v>
      </c>
      <c r="V161">
        <v>21</v>
      </c>
      <c r="W161">
        <v>19</v>
      </c>
      <c r="X161">
        <v>46</v>
      </c>
      <c r="Y161">
        <v>1970</v>
      </c>
      <c r="Z161">
        <v>1952</v>
      </c>
      <c r="AA161">
        <v>7155</v>
      </c>
    </row>
    <row r="162" spans="1:27">
      <c r="A162" s="23">
        <v>44652</v>
      </c>
      <c r="B162" s="24" t="str">
        <f>VLOOKUP($J162,Sheet2!$A$2:$E$46,5,0)</f>
        <v>WF-2</v>
      </c>
      <c r="J162" t="s">
        <v>34</v>
      </c>
      <c r="L162">
        <v>10</v>
      </c>
      <c r="M162">
        <v>13</v>
      </c>
      <c r="N162">
        <v>7</v>
      </c>
      <c r="O162">
        <v>3165</v>
      </c>
      <c r="P162">
        <v>4</v>
      </c>
      <c r="Q162">
        <v>2</v>
      </c>
      <c r="R162">
        <v>0</v>
      </c>
      <c r="S162">
        <v>4</v>
      </c>
      <c r="T162">
        <v>5</v>
      </c>
      <c r="U162">
        <v>2</v>
      </c>
      <c r="V162">
        <v>0</v>
      </c>
      <c r="W162">
        <v>0</v>
      </c>
      <c r="X162">
        <v>3</v>
      </c>
      <c r="Y162">
        <v>2155</v>
      </c>
      <c r="Z162">
        <v>2134</v>
      </c>
      <c r="AA162">
        <v>6869</v>
      </c>
    </row>
    <row r="163" spans="1:27">
      <c r="A163" s="23">
        <v>44652</v>
      </c>
      <c r="B163" s="24" t="str">
        <f>VLOOKUP($J163,Sheet2!$A$2:$E$46,5,0)</f>
        <v>WF-6</v>
      </c>
      <c r="J163" t="s">
        <v>84</v>
      </c>
      <c r="L163">
        <v>20</v>
      </c>
      <c r="M163">
        <v>60</v>
      </c>
      <c r="N163">
        <v>47</v>
      </c>
      <c r="O163">
        <v>2301</v>
      </c>
      <c r="P163">
        <v>1</v>
      </c>
      <c r="Q163">
        <v>15</v>
      </c>
      <c r="R163">
        <v>3</v>
      </c>
      <c r="S163">
        <v>0</v>
      </c>
      <c r="T163">
        <v>14</v>
      </c>
      <c r="U163">
        <v>1</v>
      </c>
      <c r="V163">
        <v>10</v>
      </c>
      <c r="W163">
        <v>3</v>
      </c>
      <c r="X163">
        <v>0</v>
      </c>
      <c r="Y163">
        <v>1629</v>
      </c>
      <c r="Z163">
        <v>1625</v>
      </c>
      <c r="AA163">
        <v>6237</v>
      </c>
    </row>
    <row r="164" spans="1:27">
      <c r="A164" s="23">
        <v>44652</v>
      </c>
      <c r="B164" s="24" t="str">
        <f>VLOOKUP($J164,Sheet2!$A$2:$E$46,5,0)</f>
        <v>WF-4</v>
      </c>
      <c r="J164" t="s">
        <v>70</v>
      </c>
      <c r="L164">
        <v>484</v>
      </c>
      <c r="M164">
        <v>487</v>
      </c>
      <c r="N164">
        <v>74</v>
      </c>
      <c r="O164">
        <v>1993</v>
      </c>
      <c r="P164">
        <v>0</v>
      </c>
      <c r="Q164">
        <v>2</v>
      </c>
      <c r="R164">
        <v>1</v>
      </c>
      <c r="S164">
        <v>480</v>
      </c>
      <c r="T164">
        <v>71</v>
      </c>
      <c r="U164">
        <v>0</v>
      </c>
      <c r="V164">
        <v>1</v>
      </c>
      <c r="W164">
        <v>1</v>
      </c>
      <c r="X164">
        <v>69</v>
      </c>
      <c r="Y164">
        <v>1354</v>
      </c>
      <c r="Z164">
        <v>1343</v>
      </c>
      <c r="AA164">
        <v>5027</v>
      </c>
    </row>
    <row r="165" spans="1:27">
      <c r="A165" s="23">
        <v>44652</v>
      </c>
      <c r="B165" s="24" t="str">
        <f>VLOOKUP($J165,Sheet2!$A$2:$E$46,5,0)</f>
        <v>WF-6</v>
      </c>
      <c r="J165" t="s">
        <v>76</v>
      </c>
      <c r="L165">
        <v>1155</v>
      </c>
      <c r="M165">
        <v>1239</v>
      </c>
      <c r="N165">
        <v>653</v>
      </c>
      <c r="O165">
        <v>5736</v>
      </c>
      <c r="P165">
        <v>312</v>
      </c>
      <c r="Q165">
        <v>176</v>
      </c>
      <c r="R165">
        <v>613</v>
      </c>
      <c r="S165">
        <v>185</v>
      </c>
      <c r="T165">
        <v>632</v>
      </c>
      <c r="U165">
        <v>235</v>
      </c>
      <c r="V165">
        <v>126</v>
      </c>
      <c r="W165">
        <v>123</v>
      </c>
      <c r="X165">
        <v>148</v>
      </c>
      <c r="Y165">
        <v>4169</v>
      </c>
      <c r="Z165">
        <v>4113</v>
      </c>
      <c r="AA165">
        <v>15517</v>
      </c>
    </row>
    <row r="166" spans="1:27">
      <c r="A166" s="23">
        <v>44652</v>
      </c>
      <c r="B166" s="24" t="str">
        <f>VLOOKUP($J166,Sheet2!$A$2:$E$46,5,0)</f>
        <v>WF-2</v>
      </c>
      <c r="J166" t="s">
        <v>40</v>
      </c>
      <c r="L166">
        <v>506</v>
      </c>
      <c r="M166">
        <v>708</v>
      </c>
      <c r="N166">
        <v>160</v>
      </c>
      <c r="O166">
        <v>3015</v>
      </c>
      <c r="P166">
        <v>34</v>
      </c>
      <c r="Q166">
        <v>103</v>
      </c>
      <c r="R166">
        <v>201</v>
      </c>
      <c r="S166">
        <v>181</v>
      </c>
      <c r="T166">
        <v>138</v>
      </c>
      <c r="U166">
        <v>12</v>
      </c>
      <c r="V166">
        <v>23</v>
      </c>
      <c r="W166">
        <v>33</v>
      </c>
      <c r="X166">
        <v>70</v>
      </c>
      <c r="Y166">
        <v>2171</v>
      </c>
      <c r="Z166">
        <v>2152</v>
      </c>
      <c r="AA166">
        <v>7996</v>
      </c>
    </row>
    <row r="167" spans="1:27">
      <c r="A167" s="23">
        <v>44652</v>
      </c>
      <c r="B167" s="24" t="str">
        <f>VLOOKUP($J167,Sheet2!$A$2:$E$46,5,0)</f>
        <v>WF-5</v>
      </c>
      <c r="J167" t="s">
        <v>54</v>
      </c>
      <c r="L167">
        <v>13</v>
      </c>
      <c r="M167">
        <v>26</v>
      </c>
      <c r="N167">
        <v>10</v>
      </c>
      <c r="O167">
        <v>2373</v>
      </c>
      <c r="P167">
        <v>2</v>
      </c>
      <c r="Q167">
        <v>4</v>
      </c>
      <c r="R167">
        <v>3</v>
      </c>
      <c r="S167">
        <v>4</v>
      </c>
      <c r="T167">
        <v>7</v>
      </c>
      <c r="U167">
        <v>2</v>
      </c>
      <c r="V167">
        <v>1</v>
      </c>
      <c r="W167">
        <v>0</v>
      </c>
      <c r="X167">
        <v>4</v>
      </c>
      <c r="Y167">
        <v>1634</v>
      </c>
      <c r="Z167">
        <v>1630</v>
      </c>
      <c r="AA167">
        <v>6444</v>
      </c>
    </row>
    <row r="168" spans="1:27">
      <c r="A168" s="23">
        <v>44652</v>
      </c>
      <c r="B168" s="24" t="str">
        <f>VLOOKUP($J168,Sheet2!$A$2:$E$46,5,0)</f>
        <v>WF-5</v>
      </c>
      <c r="J168" t="s">
        <v>64</v>
      </c>
      <c r="L168">
        <v>33</v>
      </c>
      <c r="M168">
        <v>38</v>
      </c>
      <c r="N168">
        <v>35</v>
      </c>
      <c r="O168">
        <v>2441</v>
      </c>
      <c r="P168">
        <v>0</v>
      </c>
      <c r="Q168">
        <v>26</v>
      </c>
      <c r="R168">
        <v>7</v>
      </c>
      <c r="S168">
        <v>1</v>
      </c>
      <c r="T168">
        <v>31</v>
      </c>
      <c r="U168">
        <v>0</v>
      </c>
      <c r="V168">
        <v>24</v>
      </c>
      <c r="W168">
        <v>7</v>
      </c>
      <c r="X168">
        <v>0</v>
      </c>
      <c r="Y168">
        <v>1608</v>
      </c>
      <c r="Z168">
        <v>1601</v>
      </c>
      <c r="AA168">
        <v>5880</v>
      </c>
    </row>
    <row r="169" spans="1:27">
      <c r="A169" s="23">
        <v>44652</v>
      </c>
      <c r="B169" s="24" t="str">
        <f>VLOOKUP($J169,Sheet2!$A$2:$E$46,5,0)</f>
        <v>WF-1</v>
      </c>
      <c r="J169" t="s">
        <v>88</v>
      </c>
      <c r="L169">
        <v>50</v>
      </c>
      <c r="M169">
        <v>104</v>
      </c>
      <c r="N169">
        <v>90</v>
      </c>
      <c r="O169">
        <v>2542</v>
      </c>
      <c r="P169">
        <v>18</v>
      </c>
      <c r="Q169">
        <v>14</v>
      </c>
      <c r="R169">
        <v>8</v>
      </c>
      <c r="S169">
        <v>10</v>
      </c>
      <c r="T169">
        <v>46</v>
      </c>
      <c r="U169">
        <v>17</v>
      </c>
      <c r="V169">
        <v>13</v>
      </c>
      <c r="W169">
        <v>7</v>
      </c>
      <c r="X169">
        <v>9</v>
      </c>
      <c r="Y169">
        <v>1888</v>
      </c>
      <c r="Z169">
        <v>1876</v>
      </c>
      <c r="AA169">
        <v>7013</v>
      </c>
    </row>
    <row r="170" spans="1:27">
      <c r="A170" s="23">
        <v>44652</v>
      </c>
      <c r="B170" s="24" t="str">
        <f>VLOOKUP($J170,Sheet2!$A$2:$E$46,5,0)</f>
        <v>WF-2</v>
      </c>
      <c r="J170" t="s">
        <v>32</v>
      </c>
      <c r="L170">
        <v>1611</v>
      </c>
      <c r="M170">
        <v>1627</v>
      </c>
      <c r="N170">
        <v>366</v>
      </c>
      <c r="O170">
        <v>5646</v>
      </c>
      <c r="P170">
        <v>240</v>
      </c>
      <c r="Q170">
        <v>271</v>
      </c>
      <c r="R170">
        <v>208</v>
      </c>
      <c r="S170">
        <v>959</v>
      </c>
      <c r="T170">
        <v>358</v>
      </c>
      <c r="U170">
        <v>38</v>
      </c>
      <c r="V170">
        <v>98</v>
      </c>
      <c r="W170">
        <v>53</v>
      </c>
      <c r="X170">
        <v>168</v>
      </c>
      <c r="Y170">
        <v>3665</v>
      </c>
      <c r="Z170">
        <v>3627</v>
      </c>
      <c r="AA170">
        <v>13283</v>
      </c>
    </row>
    <row r="171" spans="1:27">
      <c r="A171" s="23">
        <v>44652</v>
      </c>
      <c r="B171" s="24" t="str">
        <f>VLOOKUP($J171,Sheet2!$A$2:$E$46,5,0)</f>
        <v>WF-6</v>
      </c>
      <c r="J171" t="s">
        <v>102</v>
      </c>
      <c r="L171">
        <v>112</v>
      </c>
      <c r="M171">
        <v>301</v>
      </c>
      <c r="N171">
        <v>222</v>
      </c>
      <c r="O171">
        <v>3732</v>
      </c>
      <c r="P171">
        <v>26</v>
      </c>
      <c r="Q171">
        <v>14</v>
      </c>
      <c r="R171">
        <v>19</v>
      </c>
      <c r="S171">
        <v>52</v>
      </c>
      <c r="T171">
        <v>81</v>
      </c>
      <c r="U171">
        <v>26</v>
      </c>
      <c r="V171">
        <v>14</v>
      </c>
      <c r="W171">
        <v>19</v>
      </c>
      <c r="X171">
        <v>22</v>
      </c>
      <c r="Y171">
        <v>2534</v>
      </c>
      <c r="Z171">
        <v>2509</v>
      </c>
      <c r="AA171">
        <v>9214</v>
      </c>
    </row>
    <row r="172" spans="1:27">
      <c r="A172" s="23">
        <v>44652</v>
      </c>
      <c r="B172" s="24" t="str">
        <f>VLOOKUP($J172,Sheet2!$A$2:$E$46,5,0)</f>
        <v>WF-4</v>
      </c>
      <c r="J172" t="s">
        <v>62</v>
      </c>
      <c r="L172">
        <v>755</v>
      </c>
      <c r="M172">
        <v>778</v>
      </c>
      <c r="N172">
        <v>464</v>
      </c>
      <c r="O172">
        <v>3167</v>
      </c>
      <c r="P172">
        <v>612</v>
      </c>
      <c r="Q172">
        <v>140</v>
      </c>
      <c r="R172">
        <v>52</v>
      </c>
      <c r="S172">
        <v>72</v>
      </c>
      <c r="T172">
        <v>446</v>
      </c>
      <c r="U172">
        <v>213</v>
      </c>
      <c r="V172">
        <v>113</v>
      </c>
      <c r="W172">
        <v>48</v>
      </c>
      <c r="X172">
        <v>72</v>
      </c>
      <c r="Y172">
        <v>2235</v>
      </c>
      <c r="Z172">
        <v>2198</v>
      </c>
      <c r="AA172">
        <v>8077</v>
      </c>
    </row>
    <row r="173" spans="1:27">
      <c r="A173" s="23">
        <v>44652</v>
      </c>
      <c r="B173" s="24" t="str">
        <f>VLOOKUP($J173,Sheet2!$A$2:$E$46,5,0)</f>
        <v>WF-1</v>
      </c>
      <c r="J173" t="s">
        <v>38</v>
      </c>
      <c r="L173">
        <v>651</v>
      </c>
      <c r="M173">
        <v>699</v>
      </c>
      <c r="N173">
        <v>509</v>
      </c>
      <c r="O173">
        <v>3391</v>
      </c>
      <c r="P173">
        <v>121</v>
      </c>
      <c r="Q173">
        <v>340</v>
      </c>
      <c r="R173">
        <v>143</v>
      </c>
      <c r="S173">
        <v>103</v>
      </c>
      <c r="T173">
        <v>465</v>
      </c>
      <c r="U173">
        <v>89</v>
      </c>
      <c r="V173">
        <v>151</v>
      </c>
      <c r="W173">
        <v>133</v>
      </c>
      <c r="X173">
        <v>92</v>
      </c>
      <c r="Y173">
        <v>2352</v>
      </c>
      <c r="Z173">
        <v>2310</v>
      </c>
      <c r="AA173">
        <v>8471</v>
      </c>
    </row>
    <row r="174" spans="1:27">
      <c r="A174" s="23">
        <v>44652</v>
      </c>
      <c r="B174" s="24" t="str">
        <f>VLOOKUP($J174,Sheet2!$A$2:$E$46,5,0)</f>
        <v>WF-5</v>
      </c>
      <c r="J174" t="s">
        <v>66</v>
      </c>
      <c r="L174">
        <v>936</v>
      </c>
      <c r="M174">
        <v>1151</v>
      </c>
      <c r="N174">
        <v>839</v>
      </c>
      <c r="O174">
        <v>5548</v>
      </c>
      <c r="P174">
        <v>203</v>
      </c>
      <c r="Q174">
        <v>340</v>
      </c>
      <c r="R174">
        <v>229</v>
      </c>
      <c r="S174">
        <v>239</v>
      </c>
      <c r="T174">
        <v>662</v>
      </c>
      <c r="U174">
        <v>155</v>
      </c>
      <c r="V174">
        <v>168</v>
      </c>
      <c r="W174">
        <v>149</v>
      </c>
      <c r="X174">
        <v>188</v>
      </c>
      <c r="Y174">
        <v>3658</v>
      </c>
      <c r="Z174">
        <v>3590</v>
      </c>
      <c r="AA174">
        <v>14976</v>
      </c>
    </row>
    <row r="175" spans="1:27">
      <c r="A175" s="23">
        <v>44652</v>
      </c>
      <c r="B175" s="24" t="str">
        <f>VLOOKUP($J175,Sheet2!$A$2:$E$46,5,0)</f>
        <v>WF-7</v>
      </c>
      <c r="J175" t="s">
        <v>94</v>
      </c>
      <c r="L175">
        <v>10</v>
      </c>
      <c r="M175">
        <v>12</v>
      </c>
      <c r="N175">
        <v>8</v>
      </c>
      <c r="O175">
        <v>2117</v>
      </c>
      <c r="P175">
        <v>3</v>
      </c>
      <c r="Q175">
        <v>4</v>
      </c>
      <c r="R175">
        <v>3</v>
      </c>
      <c r="S175">
        <v>0</v>
      </c>
      <c r="T175">
        <v>7</v>
      </c>
      <c r="U175">
        <v>3</v>
      </c>
      <c r="V175">
        <v>3</v>
      </c>
      <c r="W175">
        <v>1</v>
      </c>
      <c r="X175">
        <v>0</v>
      </c>
      <c r="Y175">
        <v>1549</v>
      </c>
      <c r="Z175">
        <v>1545</v>
      </c>
      <c r="AA175">
        <v>6371</v>
      </c>
    </row>
    <row r="176" spans="1:27">
      <c r="A176" s="23">
        <v>44652</v>
      </c>
      <c r="B176" s="24" t="str">
        <f>VLOOKUP($J176,Sheet2!$A$2:$E$46,5,0)</f>
        <v>WF-1</v>
      </c>
      <c r="J176" t="s">
        <v>100</v>
      </c>
      <c r="L176">
        <v>129</v>
      </c>
      <c r="M176">
        <v>141</v>
      </c>
      <c r="N176">
        <v>91</v>
      </c>
      <c r="O176">
        <v>1675</v>
      </c>
      <c r="P176">
        <v>27</v>
      </c>
      <c r="Q176">
        <v>47</v>
      </c>
      <c r="R176">
        <v>30</v>
      </c>
      <c r="S176">
        <v>30</v>
      </c>
      <c r="T176">
        <v>83</v>
      </c>
      <c r="U176">
        <v>13</v>
      </c>
      <c r="V176">
        <v>31</v>
      </c>
      <c r="W176">
        <v>21</v>
      </c>
      <c r="X176">
        <v>16</v>
      </c>
      <c r="Y176">
        <v>1282</v>
      </c>
      <c r="Z176">
        <v>1280</v>
      </c>
      <c r="AA176">
        <v>4395</v>
      </c>
    </row>
    <row r="177" spans="1:27">
      <c r="A177" s="23">
        <v>44652</v>
      </c>
      <c r="B177" s="24" t="str">
        <f>VLOOKUP($J177,Sheet2!$A$2:$E$46,5,0)</f>
        <v>WF-4</v>
      </c>
      <c r="J177" t="s">
        <v>52</v>
      </c>
      <c r="L177">
        <v>435</v>
      </c>
      <c r="M177">
        <v>441</v>
      </c>
      <c r="N177">
        <v>89</v>
      </c>
      <c r="O177">
        <v>2244</v>
      </c>
      <c r="P177">
        <v>17</v>
      </c>
      <c r="Q177">
        <v>13</v>
      </c>
      <c r="R177">
        <v>6</v>
      </c>
      <c r="S177">
        <v>400</v>
      </c>
      <c r="T177">
        <v>86</v>
      </c>
      <c r="U177">
        <v>16</v>
      </c>
      <c r="V177">
        <v>9</v>
      </c>
      <c r="W177">
        <v>5</v>
      </c>
      <c r="X177">
        <v>56</v>
      </c>
      <c r="Y177">
        <v>1582</v>
      </c>
      <c r="Z177">
        <v>1567</v>
      </c>
      <c r="AA177">
        <v>6872</v>
      </c>
    </row>
    <row r="178" spans="1:27">
      <c r="A178" s="23">
        <v>44652</v>
      </c>
      <c r="B178" s="24" t="str">
        <f>VLOOKUP($J178,Sheet2!$A$2:$E$46,5,0)</f>
        <v>WF-1</v>
      </c>
      <c r="J178" t="s">
        <v>36</v>
      </c>
      <c r="L178">
        <v>126</v>
      </c>
      <c r="M178">
        <v>134</v>
      </c>
      <c r="N178">
        <v>132</v>
      </c>
      <c r="O178">
        <v>1593</v>
      </c>
      <c r="P178">
        <v>3</v>
      </c>
      <c r="Q178">
        <v>35</v>
      </c>
      <c r="R178">
        <v>55</v>
      </c>
      <c r="S178">
        <v>30</v>
      </c>
      <c r="T178">
        <v>122</v>
      </c>
      <c r="U178">
        <v>2</v>
      </c>
      <c r="V178">
        <v>35</v>
      </c>
      <c r="W178">
        <v>55</v>
      </c>
      <c r="X178">
        <v>30</v>
      </c>
      <c r="Y178">
        <v>972</v>
      </c>
      <c r="Z178">
        <v>970</v>
      </c>
      <c r="AA178">
        <v>3901</v>
      </c>
    </row>
    <row r="179" spans="1:27">
      <c r="A179" s="23">
        <v>44652</v>
      </c>
      <c r="B179" s="24" t="str">
        <f>VLOOKUP($J179,Sheet2!$A$2:$E$46,5,0)</f>
        <v>WF-5</v>
      </c>
      <c r="J179" t="s">
        <v>60</v>
      </c>
      <c r="L179">
        <v>56</v>
      </c>
      <c r="M179">
        <v>62</v>
      </c>
      <c r="N179">
        <v>17</v>
      </c>
      <c r="O179">
        <v>1454</v>
      </c>
      <c r="P179">
        <v>40</v>
      </c>
      <c r="Q179">
        <v>6</v>
      </c>
      <c r="R179">
        <v>0</v>
      </c>
      <c r="S179">
        <v>10</v>
      </c>
      <c r="T179">
        <v>17</v>
      </c>
      <c r="U179">
        <v>12</v>
      </c>
      <c r="V179">
        <v>3</v>
      </c>
      <c r="W179">
        <v>0</v>
      </c>
      <c r="X179">
        <v>2</v>
      </c>
      <c r="Y179">
        <v>939</v>
      </c>
      <c r="Z179">
        <v>926</v>
      </c>
      <c r="AA179">
        <v>3853</v>
      </c>
    </row>
    <row r="180" spans="1:27">
      <c r="A180" s="23">
        <v>44652</v>
      </c>
      <c r="B180" s="24" t="str">
        <f>VLOOKUP($J180,Sheet2!$A$2:$E$46,5,0)</f>
        <v>WF-5</v>
      </c>
      <c r="J180" t="s">
        <v>68</v>
      </c>
      <c r="L180">
        <v>170</v>
      </c>
      <c r="M180">
        <v>175</v>
      </c>
      <c r="N180">
        <v>159</v>
      </c>
      <c r="O180">
        <v>1289</v>
      </c>
      <c r="P180">
        <v>44</v>
      </c>
      <c r="Q180">
        <v>37</v>
      </c>
      <c r="R180">
        <v>36</v>
      </c>
      <c r="S180">
        <v>53</v>
      </c>
      <c r="T180">
        <v>155</v>
      </c>
      <c r="U180">
        <v>44</v>
      </c>
      <c r="V180">
        <v>36</v>
      </c>
      <c r="W180">
        <v>35</v>
      </c>
      <c r="X180">
        <v>40</v>
      </c>
      <c r="Y180">
        <v>865</v>
      </c>
      <c r="Z180">
        <v>853</v>
      </c>
      <c r="AA180">
        <v>3507</v>
      </c>
    </row>
    <row r="181" spans="1:27">
      <c r="A181" s="23">
        <v>44652</v>
      </c>
      <c r="B181" s="24" t="str">
        <f>VLOOKUP($J181,Sheet2!$A$2:$E$46,5,0)</f>
        <v>WF-6</v>
      </c>
      <c r="J181" t="s">
        <v>78</v>
      </c>
      <c r="L181">
        <v>222</v>
      </c>
      <c r="M181">
        <v>268</v>
      </c>
      <c r="N181">
        <v>233</v>
      </c>
      <c r="O181">
        <v>1148</v>
      </c>
      <c r="P181">
        <v>2</v>
      </c>
      <c r="Q181">
        <v>38</v>
      </c>
      <c r="R181">
        <v>143</v>
      </c>
      <c r="S181">
        <v>39</v>
      </c>
      <c r="T181">
        <v>205</v>
      </c>
      <c r="U181">
        <v>2</v>
      </c>
      <c r="V181">
        <v>37</v>
      </c>
      <c r="W181">
        <v>136</v>
      </c>
      <c r="X181">
        <v>30</v>
      </c>
      <c r="Y181">
        <v>713</v>
      </c>
      <c r="Z181">
        <v>699</v>
      </c>
      <c r="AA181">
        <v>2782</v>
      </c>
    </row>
    <row r="182" spans="1:27">
      <c r="A182" s="23">
        <v>44652</v>
      </c>
      <c r="B182" s="24" t="str">
        <f>VLOOKUP($J182,Sheet2!$A$2:$E$46,5,0)</f>
        <v>WF-4</v>
      </c>
      <c r="J182" t="s">
        <v>56</v>
      </c>
      <c r="L182">
        <v>264</v>
      </c>
      <c r="M182">
        <v>265</v>
      </c>
      <c r="N182">
        <v>126</v>
      </c>
      <c r="O182">
        <v>1223</v>
      </c>
      <c r="P182">
        <v>16</v>
      </c>
      <c r="Q182">
        <v>207</v>
      </c>
      <c r="R182">
        <v>37</v>
      </c>
      <c r="S182">
        <v>24</v>
      </c>
      <c r="T182">
        <v>125</v>
      </c>
      <c r="U182">
        <v>16</v>
      </c>
      <c r="V182">
        <v>50</v>
      </c>
      <c r="W182">
        <v>35</v>
      </c>
      <c r="X182">
        <v>24</v>
      </c>
      <c r="Y182">
        <v>821</v>
      </c>
      <c r="Z182">
        <v>814</v>
      </c>
      <c r="AA182">
        <v>3392</v>
      </c>
    </row>
    <row r="183" spans="1:27">
      <c r="A183" s="23">
        <v>44652</v>
      </c>
      <c r="B183" s="24" t="str">
        <f>VLOOKUP($J183,Sheet2!$A$2:$E$46,5,0)</f>
        <v>WF-2</v>
      </c>
      <c r="J183" t="s">
        <v>30</v>
      </c>
      <c r="L183">
        <v>1321</v>
      </c>
      <c r="M183">
        <v>1353</v>
      </c>
      <c r="N183">
        <v>792</v>
      </c>
      <c r="O183">
        <v>3599</v>
      </c>
      <c r="P183">
        <v>26</v>
      </c>
      <c r="Q183">
        <v>982</v>
      </c>
      <c r="R183">
        <v>317</v>
      </c>
      <c r="S183">
        <v>327</v>
      </c>
      <c r="T183">
        <v>765</v>
      </c>
      <c r="U183">
        <v>25</v>
      </c>
      <c r="V183">
        <v>171</v>
      </c>
      <c r="W183">
        <v>245</v>
      </c>
      <c r="X183">
        <v>324</v>
      </c>
      <c r="Y183">
        <v>2249</v>
      </c>
      <c r="Z183">
        <v>2209</v>
      </c>
      <c r="AA183">
        <v>9172</v>
      </c>
    </row>
    <row r="184" spans="1:27">
      <c r="A184" s="23">
        <v>44652</v>
      </c>
      <c r="B184" s="24" t="str">
        <f>VLOOKUP($J184,Sheet2!$A$2:$E$46,5,0)</f>
        <v>WF-1</v>
      </c>
      <c r="J184" t="s">
        <v>96</v>
      </c>
      <c r="L184">
        <v>40</v>
      </c>
      <c r="M184">
        <v>45</v>
      </c>
      <c r="N184">
        <v>28</v>
      </c>
      <c r="O184">
        <v>2368</v>
      </c>
      <c r="P184">
        <v>7</v>
      </c>
      <c r="Q184">
        <v>2</v>
      </c>
      <c r="R184">
        <v>11</v>
      </c>
      <c r="S184">
        <v>20</v>
      </c>
      <c r="T184">
        <v>26</v>
      </c>
      <c r="U184">
        <v>6</v>
      </c>
      <c r="V184">
        <v>2</v>
      </c>
      <c r="W184">
        <v>9</v>
      </c>
      <c r="X184">
        <v>9</v>
      </c>
      <c r="Y184">
        <v>1542</v>
      </c>
      <c r="Z184">
        <v>1531</v>
      </c>
      <c r="AA184">
        <v>6230</v>
      </c>
    </row>
    <row r="185" spans="1:27">
      <c r="A185" s="23">
        <v>44652</v>
      </c>
      <c r="B185" s="24" t="str">
        <f>VLOOKUP($J185,Sheet2!$A$2:$E$46,5,0)</f>
        <v>Total</v>
      </c>
      <c r="J185" t="s">
        <v>107</v>
      </c>
      <c r="L185">
        <v>13644</v>
      </c>
      <c r="M185">
        <v>14913</v>
      </c>
      <c r="N185">
        <v>7195</v>
      </c>
      <c r="O185">
        <v>102931</v>
      </c>
      <c r="P185">
        <v>2095</v>
      </c>
      <c r="Q185">
        <v>4079</v>
      </c>
      <c r="R185">
        <v>3360</v>
      </c>
      <c r="S185">
        <v>5047</v>
      </c>
      <c r="T185">
        <v>6456</v>
      </c>
      <c r="U185">
        <v>1168</v>
      </c>
      <c r="V185">
        <v>1629</v>
      </c>
      <c r="W185">
        <v>1648</v>
      </c>
      <c r="X185">
        <v>1962</v>
      </c>
      <c r="Y185">
        <v>70794</v>
      </c>
      <c r="Z185">
        <v>70050</v>
      </c>
      <c r="AA185">
        <v>269752</v>
      </c>
    </row>
    <row r="186" spans="1:27">
      <c r="A186" s="23">
        <v>44652</v>
      </c>
      <c r="B186" s="24" t="e">
        <f>VLOOKUP($J186,Sheet2!$A$2:$E$46,5,0)</f>
        <v>#N/A</v>
      </c>
      <c r="R186"/>
      <c r="S186"/>
      <c r="W186"/>
      <c r="X186"/>
    </row>
    <row r="187" spans="1:27">
      <c r="A187" s="23">
        <v>44652</v>
      </c>
      <c r="B187" s="24" t="e">
        <f>VLOOKUP($J187,Sheet2!$A$2:$E$46,5,0)</f>
        <v>#N/A</v>
      </c>
      <c r="R187"/>
      <c r="S187"/>
      <c r="W187"/>
      <c r="X187"/>
    </row>
    <row r="188" spans="1:27">
      <c r="A188" s="23">
        <v>44652</v>
      </c>
      <c r="B188" s="24" t="str">
        <f>VLOOKUP($J188,Sheet2!$A$2:$E$46,5,0)</f>
        <v>WF-1</v>
      </c>
      <c r="J188" t="s">
        <v>106</v>
      </c>
      <c r="L188">
        <v>131</v>
      </c>
      <c r="M188">
        <v>155</v>
      </c>
      <c r="N188">
        <v>78</v>
      </c>
      <c r="O188">
        <v>6810</v>
      </c>
      <c r="P188">
        <v>5</v>
      </c>
      <c r="Q188">
        <v>10</v>
      </c>
      <c r="R188">
        <v>60</v>
      </c>
      <c r="S188">
        <v>58</v>
      </c>
      <c r="T188">
        <v>58</v>
      </c>
      <c r="U188">
        <v>5</v>
      </c>
      <c r="V188">
        <v>9</v>
      </c>
      <c r="W188">
        <v>22</v>
      </c>
      <c r="X188">
        <v>20</v>
      </c>
      <c r="Y188">
        <v>5048</v>
      </c>
      <c r="Z188">
        <v>4550</v>
      </c>
      <c r="AA188">
        <v>15921</v>
      </c>
    </row>
    <row r="189" spans="1:27" ht="15.75" thickBot="1">
      <c r="A189" s="23">
        <v>44652</v>
      </c>
      <c r="B189" s="24" t="str">
        <f>VLOOKUP($J189,Sheet2!$A$2:$E$46,5,0)</f>
        <v>WF-4</v>
      </c>
      <c r="J189" t="s">
        <v>74</v>
      </c>
      <c r="L189">
        <v>83</v>
      </c>
      <c r="M189">
        <v>94</v>
      </c>
      <c r="N189">
        <v>95</v>
      </c>
      <c r="O189">
        <v>4101</v>
      </c>
      <c r="P189">
        <v>10</v>
      </c>
      <c r="Q189">
        <v>19</v>
      </c>
      <c r="R189">
        <v>16</v>
      </c>
      <c r="S189">
        <v>44</v>
      </c>
      <c r="T189">
        <v>79</v>
      </c>
      <c r="U189">
        <v>1</v>
      </c>
      <c r="V189">
        <v>7</v>
      </c>
      <c r="W189">
        <v>15</v>
      </c>
      <c r="X189">
        <v>52</v>
      </c>
      <c r="Y189">
        <v>2816</v>
      </c>
      <c r="Z189">
        <v>2588</v>
      </c>
      <c r="AA189">
        <v>9943</v>
      </c>
    </row>
    <row r="190" spans="1:27" ht="15.75" thickTop="1">
      <c r="A190" s="23">
        <v>44652</v>
      </c>
      <c r="B190" s="24" t="str">
        <f>VLOOKUP($J190,Sheet2!$A$2:$E$46,5,0)</f>
        <v>WF-1</v>
      </c>
      <c r="C190" s="178"/>
      <c r="I190" s="179"/>
      <c r="J190" s="195" t="s">
        <v>104</v>
      </c>
      <c r="L190">
        <v>86</v>
      </c>
      <c r="M190">
        <v>131</v>
      </c>
      <c r="N190">
        <v>178</v>
      </c>
      <c r="O190">
        <v>2875</v>
      </c>
      <c r="P190" s="196">
        <v>12</v>
      </c>
      <c r="Q190">
        <v>56</v>
      </c>
      <c r="R190">
        <v>9</v>
      </c>
      <c r="S190">
        <v>9</v>
      </c>
      <c r="T190">
        <v>131</v>
      </c>
      <c r="U190">
        <v>11</v>
      </c>
      <c r="V190">
        <v>90</v>
      </c>
      <c r="W190">
        <v>12</v>
      </c>
      <c r="X190">
        <v>12</v>
      </c>
      <c r="Y190">
        <v>2124</v>
      </c>
      <c r="Z190">
        <v>1965</v>
      </c>
      <c r="AA190">
        <v>7131</v>
      </c>
    </row>
    <row r="191" spans="1:27">
      <c r="A191" s="23">
        <v>44652</v>
      </c>
      <c r="B191" s="24" t="str">
        <f>VLOOKUP($J191,Sheet2!$A$2:$E$46,5,0)</f>
        <v>WF-3</v>
      </c>
      <c r="C191" s="178"/>
      <c r="I191" s="180"/>
      <c r="J191" s="197" t="s">
        <v>72</v>
      </c>
      <c r="L191">
        <v>97</v>
      </c>
      <c r="M191">
        <v>104</v>
      </c>
      <c r="N191">
        <v>156</v>
      </c>
      <c r="O191">
        <v>5501</v>
      </c>
      <c r="P191">
        <v>10</v>
      </c>
      <c r="Q191">
        <v>22</v>
      </c>
      <c r="R191">
        <v>25</v>
      </c>
      <c r="S191">
        <v>41</v>
      </c>
      <c r="T191">
        <v>148</v>
      </c>
      <c r="U191">
        <v>16</v>
      </c>
      <c r="V191">
        <v>32</v>
      </c>
      <c r="W191">
        <v>32</v>
      </c>
      <c r="X191">
        <v>59</v>
      </c>
      <c r="Y191">
        <v>3973</v>
      </c>
      <c r="Z191">
        <v>3598</v>
      </c>
      <c r="AA191">
        <v>15100</v>
      </c>
    </row>
    <row r="192" spans="1:27">
      <c r="A192" s="23">
        <v>44652</v>
      </c>
      <c r="B192" s="24" t="str">
        <f>VLOOKUP($J192,Sheet2!$A$2:$E$46,5,0)</f>
        <v>WF-1</v>
      </c>
      <c r="C192" s="178"/>
      <c r="I192" s="180"/>
      <c r="J192" s="197" t="s">
        <v>42</v>
      </c>
      <c r="L192">
        <v>5</v>
      </c>
      <c r="M192">
        <v>16</v>
      </c>
      <c r="N192">
        <v>15</v>
      </c>
      <c r="O192">
        <v>2114</v>
      </c>
      <c r="Q192">
        <v>3</v>
      </c>
      <c r="R192">
        <v>1</v>
      </c>
      <c r="S192">
        <v>1</v>
      </c>
      <c r="T192">
        <v>14</v>
      </c>
      <c r="V192">
        <v>2</v>
      </c>
      <c r="W192">
        <v>1</v>
      </c>
      <c r="X192">
        <v>11</v>
      </c>
      <c r="Y192">
        <v>1442</v>
      </c>
      <c r="Z192">
        <v>1352</v>
      </c>
      <c r="AA192">
        <v>5142</v>
      </c>
    </row>
    <row r="193" spans="1:26">
      <c r="A193" s="23">
        <v>44652</v>
      </c>
      <c r="B193" s="24" t="str">
        <f>VLOOKUP($J193,Sheet2!$A$2:$E$46,5,0)</f>
        <v>WF-7</v>
      </c>
      <c r="C193" s="178"/>
      <c r="I193" s="180"/>
      <c r="J193" s="197" t="s">
        <v>118</v>
      </c>
      <c r="L193">
        <v>389</v>
      </c>
      <c r="M193">
        <v>389</v>
      </c>
      <c r="N193">
        <v>85</v>
      </c>
      <c r="O193">
        <v>1258</v>
      </c>
      <c r="P193">
        <v>1</v>
      </c>
      <c r="Q193">
        <v>356</v>
      </c>
      <c r="R193">
        <v>15</v>
      </c>
      <c r="S193">
        <v>35</v>
      </c>
      <c r="T193">
        <v>85</v>
      </c>
      <c r="U193">
        <v>0</v>
      </c>
      <c r="V193">
        <v>36</v>
      </c>
      <c r="W193">
        <v>15</v>
      </c>
      <c r="X193">
        <v>34</v>
      </c>
      <c r="Y193">
        <v>1252</v>
      </c>
      <c r="Z193">
        <v>1251</v>
      </c>
    </row>
    <row r="194" spans="1:26" ht="15.75" thickBot="1">
      <c r="A194" s="23">
        <v>44652</v>
      </c>
      <c r="B194" s="24" t="str">
        <f>VLOOKUP($J194,Sheet2!$A$2:$E$46,5,0)</f>
        <v>WF-7</v>
      </c>
      <c r="C194" s="178"/>
      <c r="I194" s="181"/>
      <c r="J194" s="198" t="s">
        <v>116</v>
      </c>
      <c r="L194" s="199">
        <v>136</v>
      </c>
      <c r="M194">
        <v>136</v>
      </c>
      <c r="N194">
        <v>69</v>
      </c>
      <c r="O194">
        <v>2405</v>
      </c>
      <c r="P194">
        <v>3</v>
      </c>
      <c r="Q194">
        <v>78</v>
      </c>
      <c r="R194">
        <v>16</v>
      </c>
      <c r="S194">
        <v>40</v>
      </c>
      <c r="T194">
        <v>69</v>
      </c>
      <c r="U194">
        <v>0</v>
      </c>
      <c r="V194">
        <v>18</v>
      </c>
      <c r="W194">
        <v>13</v>
      </c>
      <c r="X194">
        <v>38</v>
      </c>
      <c r="Y194">
        <v>2399</v>
      </c>
      <c r="Z194">
        <v>2375</v>
      </c>
    </row>
    <row r="195" spans="1:26">
      <c r="A195" s="23">
        <v>44652</v>
      </c>
      <c r="B195" s="24" t="str">
        <f>VLOOKUP($J195,Sheet2!$A$2:$E$46,5,0)</f>
        <v>WF-7</v>
      </c>
      <c r="C195" s="178"/>
      <c r="J195" t="s">
        <v>120</v>
      </c>
      <c r="L195">
        <v>293</v>
      </c>
      <c r="M195">
        <v>297</v>
      </c>
      <c r="N195">
        <v>155</v>
      </c>
      <c r="O195">
        <v>1718</v>
      </c>
      <c r="P195">
        <v>5</v>
      </c>
      <c r="Q195">
        <v>192</v>
      </c>
      <c r="R195">
        <v>43</v>
      </c>
      <c r="S195">
        <v>75</v>
      </c>
      <c r="T195">
        <v>152</v>
      </c>
      <c r="U195">
        <v>0</v>
      </c>
      <c r="V195">
        <v>39</v>
      </c>
      <c r="W195">
        <v>43</v>
      </c>
      <c r="X195">
        <v>70</v>
      </c>
      <c r="Y195">
        <v>1708</v>
      </c>
      <c r="Z195">
        <v>1691</v>
      </c>
    </row>
    <row r="196" spans="1:26">
      <c r="A196" s="23">
        <v>44652</v>
      </c>
      <c r="B196" s="24" t="str">
        <f>VLOOKUP($J196,Sheet2!$A$2:$E$46,5,0)</f>
        <v>WF-1</v>
      </c>
      <c r="C196" s="178"/>
      <c r="J196" t="s">
        <v>113</v>
      </c>
      <c r="L196">
        <v>99</v>
      </c>
      <c r="M196">
        <v>99</v>
      </c>
      <c r="N196">
        <v>68</v>
      </c>
      <c r="O196">
        <v>1496</v>
      </c>
      <c r="P196">
        <v>3</v>
      </c>
      <c r="Q196">
        <v>39</v>
      </c>
      <c r="R196">
        <v>8</v>
      </c>
      <c r="S196">
        <v>51</v>
      </c>
      <c r="T196">
        <v>68</v>
      </c>
      <c r="U196">
        <v>0</v>
      </c>
      <c r="V196">
        <v>12</v>
      </c>
      <c r="W196">
        <v>8</v>
      </c>
      <c r="X196">
        <v>48</v>
      </c>
      <c r="Y196">
        <v>1486</v>
      </c>
      <c r="Z196">
        <v>1467</v>
      </c>
    </row>
    <row r="197" spans="1:26">
      <c r="A197" s="23">
        <v>44652</v>
      </c>
      <c r="B197" s="24" t="str">
        <f>VLOOKUP($J197,Sheet2!$A$2:$E$46,5,0)</f>
        <v>WF-1</v>
      </c>
      <c r="C197" s="178"/>
      <c r="J197" t="s">
        <v>110</v>
      </c>
      <c r="L197">
        <v>190</v>
      </c>
      <c r="M197">
        <v>193</v>
      </c>
      <c r="N197">
        <v>132</v>
      </c>
      <c r="O197">
        <v>1385</v>
      </c>
      <c r="P197">
        <v>7</v>
      </c>
      <c r="Q197">
        <v>87</v>
      </c>
      <c r="R197">
        <v>52</v>
      </c>
      <c r="S197">
        <v>48</v>
      </c>
      <c r="T197">
        <v>129</v>
      </c>
      <c r="U197">
        <v>0</v>
      </c>
      <c r="V197">
        <v>35</v>
      </c>
      <c r="W197">
        <v>48</v>
      </c>
      <c r="X197">
        <v>46</v>
      </c>
      <c r="Y197">
        <v>1381</v>
      </c>
      <c r="Z197">
        <v>1365</v>
      </c>
    </row>
    <row r="198" spans="1:26">
      <c r="A198" s="23">
        <v>44652</v>
      </c>
      <c r="B198" s="24" t="e">
        <f>VLOOKUP($J198,Sheet2!$A$2:$E$46,5,0)</f>
        <v>#N/A</v>
      </c>
      <c r="C198" s="178"/>
      <c r="R198"/>
      <c r="S198"/>
      <c r="W198"/>
      <c r="X198"/>
    </row>
    <row r="199" spans="1:26">
      <c r="A199" s="23">
        <v>44652</v>
      </c>
      <c r="B199" s="24" t="e">
        <f>VLOOKUP($J199,Sheet2!$A$2:$E$46,5,0)</f>
        <v>#N/A</v>
      </c>
      <c r="C199" s="178"/>
      <c r="R199"/>
      <c r="S199"/>
      <c r="W199"/>
      <c r="X199"/>
    </row>
    <row r="200" spans="1:26">
      <c r="A200" s="23">
        <v>44652</v>
      </c>
      <c r="B200" s="24" t="e">
        <f>VLOOKUP($J200,Sheet2!$A$2:$E$46,5,0)</f>
        <v>#N/A</v>
      </c>
      <c r="C200" s="178"/>
      <c r="R200"/>
      <c r="S200"/>
      <c r="W200"/>
      <c r="X200"/>
    </row>
    <row r="201" spans="1:26">
      <c r="A201" s="23">
        <v>44652</v>
      </c>
      <c r="B201" s="24" t="e">
        <f>VLOOKUP($J201,Sheet2!$A$2:$E$46,5,0)</f>
        <v>#N/A</v>
      </c>
      <c r="C201" s="178"/>
      <c r="R201"/>
      <c r="S201"/>
      <c r="W201"/>
      <c r="X201"/>
    </row>
    <row r="202" spans="1:26">
      <c r="A202" s="23">
        <v>44652</v>
      </c>
      <c r="B202" s="24" t="e">
        <f>VLOOKUP($J202,Sheet2!$A$2:$E$46,5,0)</f>
        <v>#N/A</v>
      </c>
      <c r="C202" s="178"/>
      <c r="R202"/>
      <c r="S202"/>
      <c r="W202"/>
      <c r="X202"/>
    </row>
    <row r="203" spans="1:26">
      <c r="A203" s="23">
        <v>44652</v>
      </c>
      <c r="B203" s="24" t="e">
        <f>VLOOKUP($J203,Sheet2!$A$2:$E$46,5,0)</f>
        <v>#N/A</v>
      </c>
      <c r="R203"/>
      <c r="S203"/>
      <c r="W203"/>
      <c r="X203"/>
    </row>
    <row r="204" spans="1:26">
      <c r="A204" s="23">
        <v>44652</v>
      </c>
      <c r="B204" s="24" t="e">
        <f>VLOOKUP($J204,Sheet2!$A$2:$E$46,5,0)</f>
        <v>#N/A</v>
      </c>
      <c r="R204"/>
      <c r="S204"/>
      <c r="W204"/>
      <c r="X204"/>
    </row>
    <row r="205" spans="1:26">
      <c r="A205" s="23">
        <v>44652</v>
      </c>
      <c r="B205" s="24" t="e">
        <f>VLOOKUP($J205,Sheet2!$A$2:$E$46,5,0)</f>
        <v>#N/A</v>
      </c>
      <c r="R205"/>
      <c r="S205"/>
      <c r="W205"/>
      <c r="X205"/>
    </row>
    <row r="206" spans="1:26">
      <c r="A206" s="23">
        <v>44652</v>
      </c>
      <c r="B206" s="24" t="e">
        <f>VLOOKUP($J206,Sheet2!$A$2:$E$46,5,0)</f>
        <v>#N/A</v>
      </c>
      <c r="R206"/>
      <c r="S206"/>
      <c r="W206"/>
      <c r="X206"/>
    </row>
    <row r="207" spans="1:26">
      <c r="A207" s="23">
        <v>44652</v>
      </c>
      <c r="B207" s="24" t="e">
        <f>VLOOKUP($J207,Sheet2!$A$2:$E$46,5,0)</f>
        <v>#N/A</v>
      </c>
      <c r="R207"/>
      <c r="S207"/>
      <c r="W207"/>
      <c r="X207"/>
    </row>
    <row r="208" spans="1:26">
      <c r="A208" s="23">
        <v>44652</v>
      </c>
      <c r="B208" s="24" t="e">
        <f>VLOOKUP($J208,Sheet2!$A$2:$E$46,5,0)</f>
        <v>#N/A</v>
      </c>
      <c r="R208"/>
      <c r="S208"/>
      <c r="W208"/>
      <c r="X208"/>
    </row>
    <row r="209" spans="1:24">
      <c r="A209" s="23">
        <v>44652</v>
      </c>
      <c r="B209" s="24" t="e">
        <f>VLOOKUP($J209,Sheet2!$A$2:$E$46,5,0)</f>
        <v>#N/A</v>
      </c>
      <c r="R209"/>
      <c r="S209"/>
      <c r="W209"/>
      <c r="X209"/>
    </row>
    <row r="210" spans="1:24">
      <c r="A210" s="23">
        <v>44652</v>
      </c>
      <c r="B210" s="24" t="e">
        <f>VLOOKUP($J210,Sheet2!$A$2:$E$46,5,0)</f>
        <v>#N/A</v>
      </c>
      <c r="R210"/>
      <c r="S210"/>
      <c r="W210"/>
      <c r="X210"/>
    </row>
    <row r="211" spans="1:24">
      <c r="A211" s="23">
        <v>44652</v>
      </c>
      <c r="B211" s="24" t="e">
        <f>VLOOKUP($J211,Sheet2!$A$2:$E$46,5,0)</f>
        <v>#N/A</v>
      </c>
      <c r="R211"/>
      <c r="S211"/>
      <c r="W211"/>
      <c r="X211"/>
    </row>
    <row r="212" spans="1:24">
      <c r="A212" s="23">
        <v>44652</v>
      </c>
      <c r="B212" s="24" t="e">
        <f>VLOOKUP($J212,Sheet2!$A$2:$E$46,5,0)</f>
        <v>#N/A</v>
      </c>
      <c r="R212"/>
      <c r="S212"/>
      <c r="W212"/>
      <c r="X212"/>
    </row>
    <row r="213" spans="1:24">
      <c r="A213" s="23">
        <v>44652</v>
      </c>
      <c r="B213" s="24" t="e">
        <f>VLOOKUP($J213,Sheet2!$A$2:$E$46,5,0)</f>
        <v>#N/A</v>
      </c>
      <c r="R213"/>
      <c r="S213"/>
      <c r="W213"/>
      <c r="X213"/>
    </row>
    <row r="214" spans="1:24">
      <c r="A214" s="23">
        <v>44652</v>
      </c>
      <c r="B214" s="24" t="e">
        <f>VLOOKUP($J214,Sheet2!$A$2:$E$46,5,0)</f>
        <v>#N/A</v>
      </c>
      <c r="R214"/>
      <c r="S214"/>
      <c r="W214"/>
      <c r="X214"/>
    </row>
    <row r="215" spans="1:24">
      <c r="A215" s="23">
        <v>44652</v>
      </c>
      <c r="B215" s="24" t="e">
        <f>VLOOKUP($J215,Sheet2!$A$2:$E$46,5,0)</f>
        <v>#N/A</v>
      </c>
      <c r="R215"/>
      <c r="S215"/>
      <c r="W215"/>
      <c r="X215"/>
    </row>
    <row r="216" spans="1:24">
      <c r="A216" s="23">
        <v>44652</v>
      </c>
      <c r="B216" s="24" t="e">
        <f>VLOOKUP($J216,Sheet2!$A$2:$E$46,5,0)</f>
        <v>#N/A</v>
      </c>
    </row>
    <row r="217" spans="1:24">
      <c r="A217" s="23">
        <v>44652</v>
      </c>
      <c r="B217" s="24" t="e">
        <f>VLOOKUP($J217,Sheet2!$A$2:$E$46,5,0)</f>
        <v>#N/A</v>
      </c>
    </row>
    <row r="218" spans="1:24">
      <c r="A218" s="23">
        <v>44652</v>
      </c>
      <c r="B218" s="24" t="e">
        <f>VLOOKUP($J218,Sheet2!$A$2:$E$46,5,0)</f>
        <v>#N/A</v>
      </c>
    </row>
    <row r="219" spans="1:24">
      <c r="A219" s="23">
        <v>44652</v>
      </c>
      <c r="B219" s="24" t="e">
        <f>VLOOKUP($J219,Sheet2!$A$2:$E$46,5,0)</f>
        <v>#N/A</v>
      </c>
    </row>
    <row r="220" spans="1:24">
      <c r="A220" s="23">
        <v>44652</v>
      </c>
      <c r="B220" s="24" t="e">
        <f>VLOOKUP($J220,Sheet2!$A$2:$E$46,5,0)</f>
        <v>#N/A</v>
      </c>
    </row>
    <row r="221" spans="1:24">
      <c r="A221" s="23">
        <v>44652</v>
      </c>
      <c r="B221" s="24" t="e">
        <f>VLOOKUP($J221,Sheet2!$A$2:$E$46,5,0)</f>
        <v>#N/A</v>
      </c>
    </row>
    <row r="222" spans="1:24">
      <c r="A222" s="23">
        <v>44652</v>
      </c>
      <c r="B222" s="24" t="e">
        <f>VLOOKUP($J222,Sheet2!$A$2:$E$46,5,0)</f>
        <v>#N/A</v>
      </c>
    </row>
    <row r="223" spans="1:24">
      <c r="A223" s="23">
        <v>44652</v>
      </c>
      <c r="B223" s="24" t="e">
        <f>VLOOKUP($J223,Sheet2!$A$2:$E$46,5,0)</f>
        <v>#N/A</v>
      </c>
    </row>
    <row r="224" spans="1:24">
      <c r="A224" s="23">
        <v>44652</v>
      </c>
      <c r="B224" s="24" t="e">
        <f>VLOOKUP($J224,Sheet2!$A$2:$E$46,5,0)</f>
        <v>#N/A</v>
      </c>
    </row>
    <row r="225" spans="1:1">
      <c r="A225" s="23">
        <v>44652</v>
      </c>
    </row>
    <row r="226" spans="1:1">
      <c r="A226" s="23"/>
    </row>
    <row r="227" spans="1:1">
      <c r="A227" s="23"/>
    </row>
    <row r="228" spans="1:1">
      <c r="A228" s="23"/>
    </row>
    <row r="229" spans="1:1">
      <c r="A229" s="23"/>
    </row>
    <row r="230" spans="1:1">
      <c r="A230" s="23"/>
    </row>
    <row r="231" spans="1:1">
      <c r="A231" s="23"/>
    </row>
    <row r="232" spans="1:1">
      <c r="A232" s="23"/>
    </row>
    <row r="233" spans="1:1">
      <c r="A233" s="23"/>
    </row>
  </sheetData>
  <conditionalFormatting sqref="L1:Z1 L2:AA3">
    <cfRule type="expression" dxfId="39" priority="3">
      <formula>COUNTIF(L$4:L$50005,"*")&gt;COUNTIF(L$4:L$50005,L$4)</formula>
    </cfRule>
  </conditionalFormatting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R23"/>
  <sheetViews>
    <sheetView topLeftCell="M1" workbookViewId="0">
      <selection activeCell="B2" sqref="B2:Q6"/>
    </sheetView>
  </sheetViews>
  <sheetFormatPr defaultRowHeight="15"/>
  <cols>
    <col min="1" max="1" width="10.42578125" bestFit="1" customWidth="1"/>
    <col min="2" max="2" width="10.28515625" customWidth="1"/>
    <col min="3" max="3" width="52.7109375" bestFit="1" customWidth="1"/>
    <col min="4" max="4" width="43.140625" customWidth="1"/>
    <col min="5" max="5" width="41.28515625" bestFit="1" customWidth="1"/>
    <col min="6" max="6" width="30.140625" customWidth="1"/>
    <col min="7" max="8" width="37" bestFit="1" customWidth="1"/>
    <col min="9" max="10" width="37" customWidth="1"/>
    <col min="11" max="11" width="52.7109375" bestFit="1" customWidth="1"/>
    <col min="12" max="15" width="35" bestFit="1" customWidth="1"/>
    <col min="16" max="16" width="65.7109375" bestFit="1" customWidth="1"/>
    <col min="17" max="17" width="30.5703125" bestFit="1" customWidth="1"/>
    <col min="18" max="26" width="10.5703125" bestFit="1" customWidth="1"/>
    <col min="27" max="31" width="11.5703125" bestFit="1" customWidth="1"/>
  </cols>
  <sheetData>
    <row r="1" spans="1:18">
      <c r="A1" t="s">
        <v>209</v>
      </c>
      <c r="B1" t="s">
        <v>165</v>
      </c>
      <c r="C1" t="s">
        <v>189</v>
      </c>
      <c r="D1" t="s">
        <v>190</v>
      </c>
      <c r="E1" t="s">
        <v>191</v>
      </c>
      <c r="F1" t="s">
        <v>192</v>
      </c>
      <c r="G1" t="s">
        <v>193</v>
      </c>
      <c r="H1" t="s">
        <v>194</v>
      </c>
      <c r="I1" t="s">
        <v>195</v>
      </c>
      <c r="J1" t="s">
        <v>196</v>
      </c>
      <c r="K1" t="s">
        <v>197</v>
      </c>
      <c r="L1" t="s">
        <v>198</v>
      </c>
      <c r="M1" t="s">
        <v>199</v>
      </c>
      <c r="N1" t="s">
        <v>200</v>
      </c>
      <c r="O1" t="s">
        <v>201</v>
      </c>
      <c r="P1" t="s">
        <v>202</v>
      </c>
      <c r="Q1" t="s">
        <v>203</v>
      </c>
    </row>
    <row r="2" spans="1:18">
      <c r="A2" s="24">
        <v>44470</v>
      </c>
      <c r="B2" t="s">
        <v>118</v>
      </c>
      <c r="C2">
        <f>VLOOKUP(Fednet_data[[#Headers],[{SDLR01a} Excluding ineligible for NHS Health Check (SDLR)]],Sheet4!$A$42:$C$57,3,FALSE)</f>
        <v>389</v>
      </c>
      <c r="D2">
        <f>VLOOKUP(Fednet_data[[#Headers],[{SDLR01} NHS Health Checks offered 2021-2022]],Sheet4!$A$42:$C$57,3,FALSE)</f>
        <v>389</v>
      </c>
      <c r="E2">
        <f>VLOOKUP(Fednet_data[[#Headers],[{SDLR02} NHS Health Checks done 2021-2022]],Sheet4!$A$42:$C$57,3,FALSE)</f>
        <v>85</v>
      </c>
      <c r="F2">
        <f>VLOOKUP(Fednet_data[[#Headers],[{SDLR03} Current Aged 40-74yrs]],Sheet4!$A$42:$C$57,3,FALSE)</f>
        <v>1258</v>
      </c>
      <c r="G2">
        <f>VLOOKUP(Fednet_data[[#Headers],[{SDLR01-Q1} NHS Health Checks offered]],Sheet4!$A$42:$C$57,3,FALSE)</f>
        <v>1</v>
      </c>
      <c r="H2">
        <f>VLOOKUP(Fednet_data[[#Headers],[{SDLR01-Q2} NHS Health Checks offered]],Sheet4!$A$42:$C$57,3,FALSE)</f>
        <v>356</v>
      </c>
      <c r="I2">
        <f>VLOOKUP(Fednet_data[[#Headers],[{SDLR01-Q3} NHS Health Checks offered]],Sheet4!$A$42:$C$57,3,FALSE)</f>
        <v>15</v>
      </c>
      <c r="J2">
        <f>VLOOKUP(Fednet_data[[#Headers],[{SDLR01-Q4} NHS Health Checks offered]],Sheet4!$A$42:$C$57,3,FALSE)</f>
        <v>35</v>
      </c>
      <c r="K2">
        <f>VLOOKUP(Fednet_data[[#Headers],[{SDLR02a} Excluding ineligible for NHS Health Check (SDLR)]],Sheet4!$A$42:$C$57,3,FALSE)</f>
        <v>85</v>
      </c>
      <c r="L2">
        <f>VLOOKUP(Fednet_data[[#Headers],[{SDLR02-Q1} NHS Health Checks done]],Sheet4!$A$42:$C$57,3,FALSE)</f>
        <v>0</v>
      </c>
      <c r="M2">
        <f>VLOOKUP(Fednet_data[[#Headers],[{SDLR02-Q2} NHS Health Checks done]],Sheet4!$A$42:$C$57,3,FALSE)</f>
        <v>36</v>
      </c>
      <c r="N2">
        <f>VLOOKUP(Fednet_data[[#Headers],[{SDLR02-Q3} NHS Health Checks done]],Sheet4!$A$42:$C$57,3,FALSE)</f>
        <v>15</v>
      </c>
      <c r="O2">
        <f>VLOOKUP(Fednet_data[[#Headers],[{SDLR02-Q4} NHS Health Checks done]],Sheet4!$A$42:$C$57,3,FALSE)</f>
        <v>34</v>
      </c>
      <c r="P2">
        <f>VLOOKUP(Fednet_data[[#Headers],[{SDLR03a} Excl DM, IHD, Stroke/TIA, HyperT, PAD, FH, CKD, AF, HF,Statins]],Sheet4!$A$42:$C$57,3,FALSE)</f>
        <v>1252</v>
      </c>
      <c r="Q2">
        <f>VLOOKUP(Fednet_data[[#Headers],[{SDLR03TEP} current eligible TEP]],Sheet4!$A$42:$C$57,3,FALSE)</f>
        <v>1251</v>
      </c>
    </row>
    <row r="3" spans="1:18">
      <c r="A3" s="24">
        <v>44470</v>
      </c>
      <c r="B3" t="s">
        <v>116</v>
      </c>
      <c r="C3">
        <f>VLOOKUP(Fednet_data[[#Headers],[{SDLR01a} Excluding ineligible for NHS Health Check (SDLR)]],Sheet4!$A$26:$C$41,3,FALSE)</f>
        <v>136</v>
      </c>
      <c r="D3">
        <f>VLOOKUP(Fednet_data[[#Headers],[{SDLR01} NHS Health Checks offered 2021-2022]],Sheet4!$A$26:$C$41,3,FALSE)</f>
        <v>136</v>
      </c>
      <c r="E3">
        <f>VLOOKUP(Fednet_data[[#Headers],[{SDLR02} NHS Health Checks done 2021-2022]],Sheet4!$A$26:$C$41,3,FALSE)</f>
        <v>69</v>
      </c>
      <c r="F3">
        <f>VLOOKUP(Fednet_data[[#Headers],[{SDLR03} Current Aged 40-74yrs]],Sheet4!$A$26:$C$41,3,FALSE)</f>
        <v>2405</v>
      </c>
      <c r="G3">
        <f>VLOOKUP(Fednet_data[[#Headers],[{SDLR01-Q1} NHS Health Checks offered]],Sheet4!$A$26:$C$41,3,FALSE)</f>
        <v>3</v>
      </c>
      <c r="H3">
        <f>VLOOKUP(Fednet_data[[#Headers],[{SDLR01-Q2} NHS Health Checks offered]],Sheet4!$A$26:$C$41,3,FALSE)</f>
        <v>78</v>
      </c>
      <c r="I3">
        <f>VLOOKUP(Fednet_data[[#Headers],[{SDLR01-Q3} NHS Health Checks offered]],Sheet4!$A$26:$C$41,3,FALSE)</f>
        <v>16</v>
      </c>
      <c r="J3">
        <f>VLOOKUP(Fednet_data[[#Headers],[{SDLR01-Q4} NHS Health Checks offered]],Sheet4!$A$26:$C$41,3,FALSE)</f>
        <v>40</v>
      </c>
      <c r="K3">
        <f>VLOOKUP(Fednet_data[[#Headers],[{SDLR02a} Excluding ineligible for NHS Health Check (SDLR)]],Sheet4!$A$26:$C$41,3,FALSE)</f>
        <v>69</v>
      </c>
      <c r="L3">
        <f>VLOOKUP(Fednet_data[[#Headers],[{SDLR02-Q1} NHS Health Checks done]],Sheet4!$A$26:$C$41,3,FALSE)</f>
        <v>0</v>
      </c>
      <c r="M3">
        <f>VLOOKUP(Fednet_data[[#Headers],[{SDLR02-Q2} NHS Health Checks done]],Sheet4!$A$26:$C$41,3,FALSE)</f>
        <v>18</v>
      </c>
      <c r="N3">
        <f>VLOOKUP(Fednet_data[[#Headers],[{SDLR02-Q3} NHS Health Checks done]],Sheet4!$A$26:$C$41,3,FALSE)</f>
        <v>13</v>
      </c>
      <c r="O3">
        <f>VLOOKUP(Fednet_data[[#Headers],[{SDLR02-Q4} NHS Health Checks done]],Sheet4!$A$26:$C$41,3,FALSE)</f>
        <v>38</v>
      </c>
      <c r="P3">
        <f>VLOOKUP(Fednet_data[[#Headers],[{SDLR03a} Excl DM, IHD, Stroke/TIA, HyperT, PAD, FH, CKD, AF, HF,Statins]],Sheet4!$A$26:$C$41,3,FALSE)</f>
        <v>2399</v>
      </c>
      <c r="Q3">
        <f>VLOOKUP(Fednet_data[[#Headers],[{SDLR03TEP} current eligible TEP]],Sheet4!$A$26:$C$41,3,FALSE)</f>
        <v>2375</v>
      </c>
    </row>
    <row r="4" spans="1:18">
      <c r="A4" s="24">
        <v>44470</v>
      </c>
      <c r="B4" t="s">
        <v>120</v>
      </c>
      <c r="C4">
        <f>VLOOKUP(Fednet_data[[#Headers],[{SDLR01a} Excluding ineligible for NHS Health Check (SDLR)]],Sheet4!$A$58:$C$73,3,FALSE)</f>
        <v>293</v>
      </c>
      <c r="D4">
        <f>VLOOKUP(Fednet_data[[#Headers],[{SDLR01} NHS Health Checks offered 2021-2022]],Sheet4!$A$58:$C$73,3,FALSE)</f>
        <v>297</v>
      </c>
      <c r="E4">
        <f>VLOOKUP(Fednet_data[[#Headers],[{SDLR02} NHS Health Checks done 2021-2022]],Sheet4!$A$58:$C$73,3,FALSE)</f>
        <v>155</v>
      </c>
      <c r="F4">
        <f>VLOOKUP(Fednet_data[[#Headers],[{SDLR03} Current Aged 40-74yrs]],Sheet4!$A$58:$C$73,3,FALSE)</f>
        <v>1718</v>
      </c>
      <c r="G4">
        <f>VLOOKUP(Fednet_data[[#Headers],[{SDLR01-Q1} NHS Health Checks offered]],Sheet4!$A$58:$C$73,3,FALSE)</f>
        <v>5</v>
      </c>
      <c r="H4">
        <f>VLOOKUP(Fednet_data[[#Headers],[{SDLR01-Q2} NHS Health Checks offered]],Sheet4!$A$58:$C$73,3,FALSE)</f>
        <v>192</v>
      </c>
      <c r="I4">
        <f>VLOOKUP(Fednet_data[[#Headers],[{SDLR01-Q3} NHS Health Checks offered]],Sheet4!$A$58:$C$73,3,FALSE)</f>
        <v>43</v>
      </c>
      <c r="J4">
        <f>VLOOKUP(Fednet_data[[#Headers],[{SDLR01-Q4} NHS Health Checks offered]],Sheet4!$A$58:$C$73,3,FALSE)</f>
        <v>75</v>
      </c>
      <c r="K4">
        <f>VLOOKUP(Fednet_data[[#Headers],[{SDLR02a} Excluding ineligible for NHS Health Check (SDLR)]],Sheet4!$A$58:$C$73,3,FALSE)</f>
        <v>152</v>
      </c>
      <c r="L4">
        <f>VLOOKUP(Fednet_data[[#Headers],[{SDLR02-Q1} NHS Health Checks done]],Sheet4!$A$58:$C$73,3,FALSE)</f>
        <v>0</v>
      </c>
      <c r="M4">
        <f>VLOOKUP(Fednet_data[[#Headers],[{SDLR02-Q2} NHS Health Checks done]],Sheet4!$A$58:$C$73,3,FALSE)</f>
        <v>39</v>
      </c>
      <c r="N4">
        <f>VLOOKUP(Fednet_data[[#Headers],[{SDLR02-Q3} NHS Health Checks done]],Sheet4!$A$58:$C$73,3,FALSE)</f>
        <v>43</v>
      </c>
      <c r="O4">
        <f>VLOOKUP(Fednet_data[[#Headers],[{SDLR02-Q4} NHS Health Checks done]],Sheet4!$A$58:$C$73,3,FALSE)</f>
        <v>70</v>
      </c>
      <c r="P4">
        <f>VLOOKUP(Fednet_data[[#Headers],[{SDLR03a} Excl DM, IHD, Stroke/TIA, HyperT, PAD, FH, CKD, AF, HF,Statins]],Sheet4!$A$58:$C$73,3,FALSE)</f>
        <v>1708</v>
      </c>
      <c r="Q4">
        <f>VLOOKUP(Fednet_data[[#Headers],[{SDLR03TEP} current eligible TEP]],Sheet4!$A$58:$C$73,3,FALSE)</f>
        <v>1691</v>
      </c>
    </row>
    <row r="5" spans="1:18">
      <c r="A5" s="24">
        <v>44470</v>
      </c>
      <c r="B5" t="s">
        <v>113</v>
      </c>
      <c r="C5">
        <f>VLOOKUP(Fednet_data[[#Headers],[{SDLR01a} Excluding ineligible for NHS Health Check (SDLR)]],Sheet4!$A$74:$C$89,3,FALSE)</f>
        <v>99</v>
      </c>
      <c r="D5">
        <f>VLOOKUP(Fednet_data[[#Headers],[{SDLR01} NHS Health Checks offered 2021-2022]],Sheet4!$A$74:$C$89,3,FALSE)</f>
        <v>99</v>
      </c>
      <c r="E5">
        <f>VLOOKUP(Fednet_data[[#Headers],[{SDLR02} NHS Health Checks done 2021-2022]],Sheet4!$A$74:$C$89,3,FALSE)</f>
        <v>68</v>
      </c>
      <c r="F5">
        <f>VLOOKUP(Fednet_data[[#Headers],[{SDLR03} Current Aged 40-74yrs]],Sheet4!$A$74:$C$89,3,FALSE)</f>
        <v>1496</v>
      </c>
      <c r="G5">
        <f>VLOOKUP(Fednet_data[[#Headers],[{SDLR01-Q1} NHS Health Checks offered]],Sheet4!$A$74:$C$89,3,FALSE)</f>
        <v>3</v>
      </c>
      <c r="H5">
        <f>VLOOKUP(Fednet_data[[#Headers],[{SDLR01-Q2} NHS Health Checks offered]],Sheet4!$A$74:$C$89,3,FALSE)</f>
        <v>39</v>
      </c>
      <c r="I5">
        <f>VLOOKUP(Fednet_data[[#Headers],[{SDLR01-Q3} NHS Health Checks offered]],Sheet4!$A$74:$C$89,3,FALSE)</f>
        <v>8</v>
      </c>
      <c r="J5">
        <f>VLOOKUP(Fednet_data[[#Headers],[{SDLR01-Q4} NHS Health Checks offered]],Sheet4!$A$74:$C$89,3,FALSE)</f>
        <v>51</v>
      </c>
      <c r="K5">
        <f>VLOOKUP(Fednet_data[[#Headers],[{SDLR02a} Excluding ineligible for NHS Health Check (SDLR)]],Sheet4!$A$74:$C$89,3,FALSE)</f>
        <v>68</v>
      </c>
      <c r="L5">
        <f>VLOOKUP(Fednet_data[[#Headers],[{SDLR02-Q1} NHS Health Checks done]],Sheet4!$A$74:$C$89,3,FALSE)</f>
        <v>0</v>
      </c>
      <c r="M5">
        <f>VLOOKUP(Fednet_data[[#Headers],[{SDLR02-Q2} NHS Health Checks done]],Sheet4!$A$74:$C$89,3,FALSE)</f>
        <v>12</v>
      </c>
      <c r="N5">
        <f>VLOOKUP(Fednet_data[[#Headers],[{SDLR02-Q3} NHS Health Checks done]],Sheet4!$A$74:$C$89,3,FALSE)</f>
        <v>8</v>
      </c>
      <c r="O5">
        <f>VLOOKUP(Fednet_data[[#Headers],[{SDLR02-Q4} NHS Health Checks done]],Sheet4!$A$74:$C$89,3,FALSE)</f>
        <v>48</v>
      </c>
      <c r="P5">
        <f>VLOOKUP(Fednet_data[[#Headers],[{SDLR03a} Excl DM, IHD, Stroke/TIA, HyperT, PAD, FH, CKD, AF, HF,Statins]],Sheet4!$A$74:$C$89,3,FALSE)</f>
        <v>1486</v>
      </c>
      <c r="Q5">
        <f>VLOOKUP(Fednet_data[[#Headers],[{SDLR03TEP} current eligible TEP]],Sheet4!$A$74:$C$89,3,FALSE)</f>
        <v>1467</v>
      </c>
    </row>
    <row r="6" spans="1:18">
      <c r="A6" s="24">
        <v>44470</v>
      </c>
      <c r="B6" t="s">
        <v>110</v>
      </c>
      <c r="C6">
        <f>VLOOKUP(Fednet_data[[#Headers],[{SDLR01a} Excluding ineligible for NHS Health Check (SDLR)]],Sheet4!$A$10:$C$25,3,FALSE)</f>
        <v>190</v>
      </c>
      <c r="D6">
        <f>VLOOKUP(Fednet_data[[#Headers],[{SDLR01} NHS Health Checks offered 2021-2022]],Sheet4!$A$10:$C$25,3,FALSE)</f>
        <v>193</v>
      </c>
      <c r="E6">
        <f>VLOOKUP(Fednet_data[[#Headers],[{SDLR02} NHS Health Checks done 2021-2022]],Sheet4!$A$10:$C$25,3,FALSE)</f>
        <v>132</v>
      </c>
      <c r="F6">
        <f>VLOOKUP(Fednet_data[[#Headers],[{SDLR03} Current Aged 40-74yrs]],Sheet4!$A$10:$C$25,3,FALSE)</f>
        <v>1385</v>
      </c>
      <c r="G6">
        <f>VLOOKUP(Fednet_data[[#Headers],[{SDLR01-Q1} NHS Health Checks offered]],Sheet4!$A$10:$C$25,3,FALSE)</f>
        <v>7</v>
      </c>
      <c r="H6">
        <f>VLOOKUP(Fednet_data[[#Headers],[{SDLR01-Q2} NHS Health Checks offered]],Sheet4!$A$10:$C$25,3,FALSE)</f>
        <v>87</v>
      </c>
      <c r="I6">
        <f>VLOOKUP(Fednet_data[[#Headers],[{SDLR01-Q3} NHS Health Checks offered]],Sheet4!$A$10:$C$25,3,FALSE)</f>
        <v>52</v>
      </c>
      <c r="J6">
        <f>VLOOKUP(Fednet_data[[#Headers],[{SDLR01-Q4} NHS Health Checks offered]],Sheet4!$A$10:$C$25,3,FALSE)</f>
        <v>48</v>
      </c>
      <c r="K6">
        <f>VLOOKUP(Fednet_data[[#Headers],[{SDLR02a} Excluding ineligible for NHS Health Check (SDLR)]],Sheet4!$A$10:$C$25,3,FALSE)</f>
        <v>129</v>
      </c>
      <c r="L6">
        <f>VLOOKUP(Fednet_data[[#Headers],[{SDLR02-Q1} NHS Health Checks done]],Sheet4!$A$10:$C$25,3,FALSE)</f>
        <v>0</v>
      </c>
      <c r="M6">
        <f>VLOOKUP(Fednet_data[[#Headers],[{SDLR02-Q2} NHS Health Checks done]],Sheet4!$A$10:$C$25,3,FALSE)</f>
        <v>35</v>
      </c>
      <c r="N6">
        <f>VLOOKUP(Fednet_data[[#Headers],[{SDLR02-Q3} NHS Health Checks done]],Sheet4!$A$10:$C$25,3,FALSE)</f>
        <v>48</v>
      </c>
      <c r="O6">
        <f>VLOOKUP(Fednet_data[[#Headers],[{SDLR02-Q4} NHS Health Checks done]],Sheet4!$A$10:$C$25,3,FALSE)</f>
        <v>46</v>
      </c>
      <c r="P6">
        <f>VLOOKUP(Fednet_data[[#Headers],[{SDLR03a} Excl DM, IHD, Stroke/TIA, HyperT, PAD, FH, CKD, AF, HF,Statins]],Sheet4!$A$10:$C$25,3,FALSE)</f>
        <v>1381</v>
      </c>
      <c r="Q6">
        <f>VLOOKUP(Fednet_data[[#Headers],[{SDLR03TEP} current eligible TEP]],Sheet4!$A$10:$C$25,3,FALSE)</f>
        <v>1365</v>
      </c>
    </row>
    <row r="12" spans="1:18">
      <c r="C12" t="s">
        <v>210</v>
      </c>
      <c r="D12" t="s">
        <v>211</v>
      </c>
      <c r="E12" t="s">
        <v>212</v>
      </c>
      <c r="F12" t="s">
        <v>213</v>
      </c>
      <c r="G12" t="s">
        <v>214</v>
      </c>
      <c r="H12" t="s">
        <v>214</v>
      </c>
      <c r="I12" t="s">
        <v>214</v>
      </c>
      <c r="J12" t="s">
        <v>214</v>
      </c>
      <c r="K12" t="s">
        <v>210</v>
      </c>
      <c r="L12" t="s">
        <v>215</v>
      </c>
      <c r="M12" t="s">
        <v>215</v>
      </c>
      <c r="N12" t="s">
        <v>215</v>
      </c>
      <c r="O12" t="s">
        <v>215</v>
      </c>
      <c r="P12" t="s">
        <v>216</v>
      </c>
      <c r="Q12" t="s">
        <v>217</v>
      </c>
      <c r="R12" t="s">
        <v>218</v>
      </c>
    </row>
    <row r="23" spans="3:3">
      <c r="C23" s="192"/>
    </row>
  </sheetData>
  <pageMargins left="0.7" right="0.7" top="0.75" bottom="0.75" header="0.3" footer="0.3"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51"/>
  <sheetViews>
    <sheetView workbookViewId="0">
      <selection activeCell="G67" sqref="G67"/>
    </sheetView>
  </sheetViews>
  <sheetFormatPr defaultRowHeight="15"/>
  <cols>
    <col min="2" max="2" width="52.42578125" bestFit="1" customWidth="1"/>
    <col min="8" max="8" width="21.140625" bestFit="1" customWidth="1"/>
  </cols>
  <sheetData>
    <row r="1" spans="1:8" ht="30">
      <c r="A1" s="116" t="s">
        <v>167</v>
      </c>
      <c r="B1" s="116" t="s">
        <v>219</v>
      </c>
      <c r="C1" s="116" t="s">
        <v>220</v>
      </c>
      <c r="D1" s="116" t="s">
        <v>221</v>
      </c>
      <c r="E1" s="116" t="s">
        <v>222</v>
      </c>
      <c r="G1" s="116" t="s">
        <v>223</v>
      </c>
      <c r="H1" s="116" t="s">
        <v>222</v>
      </c>
    </row>
    <row r="2" spans="1:8">
      <c r="A2" s="117" t="s">
        <v>30</v>
      </c>
      <c r="B2" s="118" t="s">
        <v>15</v>
      </c>
      <c r="E2" s="118" t="s">
        <v>224</v>
      </c>
      <c r="G2" t="str">
        <f>INDEX($A$2:$A$41,MATCH(Summary!$B$5,Sheet2!$B$2:$B$41,0))</f>
        <v>Y01291</v>
      </c>
      <c r="H2" t="str">
        <f>VLOOKUP($G$2,$A$2:$E$40,5,0)</f>
        <v>WF-2</v>
      </c>
    </row>
    <row r="3" spans="1:8">
      <c r="A3" s="117" t="s">
        <v>32</v>
      </c>
      <c r="B3" s="118" t="s">
        <v>31</v>
      </c>
      <c r="E3" s="118" t="s">
        <v>224</v>
      </c>
    </row>
    <row r="4" spans="1:8">
      <c r="A4" s="117" t="s">
        <v>34</v>
      </c>
      <c r="B4" s="118" t="s">
        <v>33</v>
      </c>
      <c r="E4" s="118" t="s">
        <v>224</v>
      </c>
    </row>
    <row r="5" spans="1:8">
      <c r="A5" s="117" t="s">
        <v>36</v>
      </c>
      <c r="B5" s="118" t="s">
        <v>35</v>
      </c>
      <c r="E5" s="118" t="s">
        <v>225</v>
      </c>
    </row>
    <row r="6" spans="1:8">
      <c r="A6" s="117" t="s">
        <v>38</v>
      </c>
      <c r="B6" s="118" t="s">
        <v>37</v>
      </c>
      <c r="E6" s="118" t="s">
        <v>225</v>
      </c>
    </row>
    <row r="7" spans="1:8">
      <c r="A7" s="117" t="s">
        <v>40</v>
      </c>
      <c r="B7" s="118" t="s">
        <v>39</v>
      </c>
      <c r="E7" s="118" t="s">
        <v>224</v>
      </c>
    </row>
    <row r="8" spans="1:8">
      <c r="A8" s="117" t="s">
        <v>42</v>
      </c>
      <c r="B8" s="118" t="s">
        <v>41</v>
      </c>
      <c r="E8" s="118" t="s">
        <v>225</v>
      </c>
    </row>
    <row r="9" spans="1:8">
      <c r="A9" s="117" t="s">
        <v>44</v>
      </c>
      <c r="B9" s="118" t="s">
        <v>43</v>
      </c>
      <c r="E9" s="118" t="s">
        <v>226</v>
      </c>
    </row>
    <row r="10" spans="1:8">
      <c r="A10" s="117" t="s">
        <v>46</v>
      </c>
      <c r="B10" s="118" t="s">
        <v>45</v>
      </c>
      <c r="E10" s="118" t="s">
        <v>227</v>
      </c>
    </row>
    <row r="11" spans="1:8">
      <c r="A11" s="117" t="s">
        <v>48</v>
      </c>
      <c r="B11" s="118" t="s">
        <v>47</v>
      </c>
      <c r="E11" s="118" t="s">
        <v>226</v>
      </c>
    </row>
    <row r="12" spans="1:8">
      <c r="A12" s="117" t="s">
        <v>50</v>
      </c>
      <c r="B12" s="118" t="s">
        <v>49</v>
      </c>
      <c r="E12" s="118" t="s">
        <v>227</v>
      </c>
      <c r="G12" s="119" t="s">
        <v>225</v>
      </c>
      <c r="H12" s="120" t="s">
        <v>228</v>
      </c>
    </row>
    <row r="13" spans="1:8">
      <c r="A13" s="117" t="s">
        <v>52</v>
      </c>
      <c r="B13" s="118" t="s">
        <v>51</v>
      </c>
      <c r="E13" s="118" t="s">
        <v>227</v>
      </c>
      <c r="G13" s="119" t="s">
        <v>224</v>
      </c>
      <c r="H13" s="120" t="s">
        <v>229</v>
      </c>
    </row>
    <row r="14" spans="1:8">
      <c r="A14" s="117" t="s">
        <v>54</v>
      </c>
      <c r="B14" s="118" t="s">
        <v>53</v>
      </c>
      <c r="E14" s="118" t="s">
        <v>230</v>
      </c>
      <c r="G14" s="119" t="s">
        <v>226</v>
      </c>
      <c r="H14" s="120" t="s">
        <v>231</v>
      </c>
    </row>
    <row r="15" spans="1:8">
      <c r="A15" s="117" t="s">
        <v>56</v>
      </c>
      <c r="B15" s="118" t="s">
        <v>55</v>
      </c>
      <c r="E15" s="118" t="s">
        <v>227</v>
      </c>
      <c r="G15" s="119" t="s">
        <v>227</v>
      </c>
      <c r="H15" s="120" t="s">
        <v>232</v>
      </c>
    </row>
    <row r="16" spans="1:8">
      <c r="A16" s="117" t="s">
        <v>58</v>
      </c>
      <c r="B16" s="118" t="s">
        <v>57</v>
      </c>
      <c r="E16" s="118" t="s">
        <v>230</v>
      </c>
      <c r="G16" s="119" t="s">
        <v>230</v>
      </c>
      <c r="H16" s="120" t="s">
        <v>233</v>
      </c>
    </row>
    <row r="17" spans="1:8">
      <c r="A17" s="117" t="s">
        <v>60</v>
      </c>
      <c r="B17" s="118" t="s">
        <v>59</v>
      </c>
      <c r="E17" s="118" t="s">
        <v>230</v>
      </c>
      <c r="G17" s="119" t="s">
        <v>234</v>
      </c>
      <c r="H17" s="120" t="s">
        <v>235</v>
      </c>
    </row>
    <row r="18" spans="1:8">
      <c r="A18" s="117" t="s">
        <v>62</v>
      </c>
      <c r="B18" s="118" t="s">
        <v>61</v>
      </c>
      <c r="E18" s="118" t="s">
        <v>227</v>
      </c>
      <c r="G18" s="119" t="s">
        <v>236</v>
      </c>
      <c r="H18" s="120" t="s">
        <v>237</v>
      </c>
    </row>
    <row r="19" spans="1:8">
      <c r="A19" s="117" t="s">
        <v>64</v>
      </c>
      <c r="B19" s="118" t="s">
        <v>63</v>
      </c>
      <c r="E19" s="118" t="s">
        <v>230</v>
      </c>
    </row>
    <row r="20" spans="1:8">
      <c r="A20" s="117" t="s">
        <v>66</v>
      </c>
      <c r="B20" s="118" t="s">
        <v>65</v>
      </c>
      <c r="E20" s="118" t="s">
        <v>230</v>
      </c>
    </row>
    <row r="21" spans="1:8">
      <c r="A21" s="117" t="s">
        <v>68</v>
      </c>
      <c r="B21" s="118" t="s">
        <v>67</v>
      </c>
      <c r="E21" s="118" t="s">
        <v>230</v>
      </c>
    </row>
    <row r="22" spans="1:8">
      <c r="A22" s="117" t="s">
        <v>70</v>
      </c>
      <c r="B22" s="118" t="s">
        <v>69</v>
      </c>
      <c r="E22" s="118" t="s">
        <v>227</v>
      </c>
    </row>
    <row r="23" spans="1:8">
      <c r="A23" s="117" t="s">
        <v>72</v>
      </c>
      <c r="B23" s="118" t="s">
        <v>71</v>
      </c>
      <c r="E23" s="118" t="s">
        <v>226</v>
      </c>
    </row>
    <row r="24" spans="1:8">
      <c r="A24" s="117" t="s">
        <v>74</v>
      </c>
      <c r="B24" s="118" t="s">
        <v>73</v>
      </c>
      <c r="E24" s="118" t="s">
        <v>227</v>
      </c>
    </row>
    <row r="25" spans="1:8">
      <c r="A25" s="117" t="s">
        <v>76</v>
      </c>
      <c r="B25" s="118" t="s">
        <v>75</v>
      </c>
      <c r="E25" s="118" t="s">
        <v>234</v>
      </c>
    </row>
    <row r="26" spans="1:8">
      <c r="A26" s="117" t="s">
        <v>78</v>
      </c>
      <c r="B26" t="s">
        <v>77</v>
      </c>
      <c r="E26" s="118" t="s">
        <v>234</v>
      </c>
    </row>
    <row r="27" spans="1:8">
      <c r="A27" s="117" t="s">
        <v>80</v>
      </c>
      <c r="B27" s="118" t="s">
        <v>238</v>
      </c>
      <c r="E27" s="118" t="s">
        <v>234</v>
      </c>
    </row>
    <row r="28" spans="1:8">
      <c r="A28" s="117" t="s">
        <v>82</v>
      </c>
      <c r="B28" s="118" t="s">
        <v>81</v>
      </c>
      <c r="E28" s="118" t="s">
        <v>225</v>
      </c>
    </row>
    <row r="29" spans="1:8">
      <c r="A29" s="117" t="s">
        <v>84</v>
      </c>
      <c r="B29" s="118" t="s">
        <v>83</v>
      </c>
      <c r="E29" s="118" t="s">
        <v>234</v>
      </c>
    </row>
    <row r="30" spans="1:8">
      <c r="A30" s="117" t="s">
        <v>86</v>
      </c>
      <c r="B30" s="118" t="s">
        <v>85</v>
      </c>
      <c r="E30" s="118" t="s">
        <v>236</v>
      </c>
    </row>
    <row r="31" spans="1:8">
      <c r="A31" s="117" t="s">
        <v>88</v>
      </c>
      <c r="B31" s="118" t="s">
        <v>87</v>
      </c>
      <c r="E31" s="118" t="s">
        <v>225</v>
      </c>
    </row>
    <row r="32" spans="1:8">
      <c r="A32" s="117" t="s">
        <v>90</v>
      </c>
      <c r="B32" s="118" t="s">
        <v>114</v>
      </c>
      <c r="E32" s="118" t="s">
        <v>236</v>
      </c>
    </row>
    <row r="33" spans="1:9">
      <c r="A33" s="117" t="s">
        <v>92</v>
      </c>
      <c r="B33" s="118" t="s">
        <v>91</v>
      </c>
      <c r="E33" s="118" t="s">
        <v>236</v>
      </c>
    </row>
    <row r="34" spans="1:9">
      <c r="A34" s="117" t="s">
        <v>94</v>
      </c>
      <c r="B34" s="118" t="s">
        <v>93</v>
      </c>
      <c r="E34" s="118" t="s">
        <v>236</v>
      </c>
    </row>
    <row r="35" spans="1:9">
      <c r="A35" s="117" t="s">
        <v>96</v>
      </c>
      <c r="B35" s="118" t="s">
        <v>95</v>
      </c>
      <c r="E35" s="118" t="s">
        <v>225</v>
      </c>
    </row>
    <row r="36" spans="1:9">
      <c r="A36" s="117" t="s">
        <v>98</v>
      </c>
      <c r="B36" s="118" t="s">
        <v>97</v>
      </c>
      <c r="E36" s="118" t="s">
        <v>236</v>
      </c>
    </row>
    <row r="37" spans="1:9">
      <c r="A37" t="s">
        <v>100</v>
      </c>
      <c r="B37" s="118" t="s">
        <v>99</v>
      </c>
      <c r="E37" s="118" t="s">
        <v>225</v>
      </c>
    </row>
    <row r="38" spans="1:9">
      <c r="A38" t="s">
        <v>102</v>
      </c>
      <c r="B38" s="118" t="s">
        <v>101</v>
      </c>
      <c r="E38" s="118" t="s">
        <v>234</v>
      </c>
    </row>
    <row r="39" spans="1:9">
      <c r="A39" t="s">
        <v>104</v>
      </c>
      <c r="B39" s="118" t="s">
        <v>103</v>
      </c>
      <c r="E39" s="118" t="s">
        <v>225</v>
      </c>
    </row>
    <row r="40" spans="1:9">
      <c r="A40" t="s">
        <v>106</v>
      </c>
      <c r="B40" t="s">
        <v>105</v>
      </c>
      <c r="E40" t="s">
        <v>225</v>
      </c>
    </row>
    <row r="41" spans="1:9">
      <c r="A41" t="s">
        <v>107</v>
      </c>
      <c r="B41" s="118" t="s">
        <v>239</v>
      </c>
      <c r="E41" s="118" t="s">
        <v>107</v>
      </c>
      <c r="H41" t="s">
        <v>240</v>
      </c>
      <c r="I41" t="s">
        <v>110</v>
      </c>
    </row>
    <row r="42" spans="1:9">
      <c r="A42" t="s">
        <v>110</v>
      </c>
      <c r="B42" s="118" t="s">
        <v>109</v>
      </c>
      <c r="E42" s="118" t="s">
        <v>225</v>
      </c>
      <c r="H42" t="s">
        <v>241</v>
      </c>
      <c r="I42" t="s">
        <v>113</v>
      </c>
    </row>
    <row r="43" spans="1:9">
      <c r="A43" t="s">
        <v>113</v>
      </c>
      <c r="B43" s="118" t="s">
        <v>112</v>
      </c>
      <c r="E43" s="118" t="s">
        <v>225</v>
      </c>
      <c r="H43" t="s">
        <v>242</v>
      </c>
      <c r="I43" t="s">
        <v>120</v>
      </c>
    </row>
    <row r="44" spans="1:9">
      <c r="A44" t="s">
        <v>120</v>
      </c>
      <c r="B44" t="s">
        <v>119</v>
      </c>
      <c r="E44" s="118" t="s">
        <v>236</v>
      </c>
      <c r="H44" t="s">
        <v>243</v>
      </c>
      <c r="I44" t="s">
        <v>116</v>
      </c>
    </row>
    <row r="45" spans="1:9">
      <c r="A45" t="s">
        <v>116</v>
      </c>
      <c r="B45" t="s">
        <v>115</v>
      </c>
      <c r="E45" s="118" t="s">
        <v>236</v>
      </c>
    </row>
    <row r="46" spans="1:9" ht="30">
      <c r="A46" s="117" t="s">
        <v>118</v>
      </c>
      <c r="B46" s="118" t="s">
        <v>117</v>
      </c>
      <c r="E46" s="118" t="s">
        <v>236</v>
      </c>
    </row>
    <row r="47" spans="1:9">
      <c r="A47" t="s">
        <v>244</v>
      </c>
      <c r="B47" s="118" t="s">
        <v>245</v>
      </c>
      <c r="E47" s="118" t="s">
        <v>225</v>
      </c>
    </row>
    <row r="48" spans="1:9">
      <c r="A48" t="s">
        <v>246</v>
      </c>
      <c r="B48" s="118" t="s">
        <v>112</v>
      </c>
      <c r="E48" s="118" t="s">
        <v>225</v>
      </c>
    </row>
    <row r="49" spans="1:5">
      <c r="A49" t="s">
        <v>247</v>
      </c>
      <c r="B49" t="s">
        <v>119</v>
      </c>
      <c r="E49" s="118" t="s">
        <v>236</v>
      </c>
    </row>
    <row r="50" spans="1:5">
      <c r="A50" t="s">
        <v>248</v>
      </c>
      <c r="B50" t="s">
        <v>115</v>
      </c>
      <c r="E50" s="118" t="s">
        <v>236</v>
      </c>
    </row>
    <row r="51" spans="1:5">
      <c r="A51" s="117" t="s">
        <v>249</v>
      </c>
      <c r="B51" s="118" t="s">
        <v>117</v>
      </c>
      <c r="E51" s="118" t="s">
        <v>236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1:O7"/>
  <sheetViews>
    <sheetView workbookViewId="0">
      <selection activeCell="H16" sqref="H16"/>
    </sheetView>
  </sheetViews>
  <sheetFormatPr defaultRowHeight="15"/>
  <cols>
    <col min="3" max="4" width="13.140625" customWidth="1"/>
    <col min="5" max="15" width="19.42578125" customWidth="1"/>
  </cols>
  <sheetData>
    <row r="1" spans="3:15">
      <c r="D1" t="s">
        <v>1</v>
      </c>
      <c r="E1" t="s">
        <v>2</v>
      </c>
      <c r="G1" t="s">
        <v>2</v>
      </c>
      <c r="H1" t="s">
        <v>3</v>
      </c>
      <c r="I1" t="s">
        <v>4</v>
      </c>
      <c r="J1" t="s">
        <v>5</v>
      </c>
      <c r="K1" t="s">
        <v>6</v>
      </c>
      <c r="L1" t="s">
        <v>7</v>
      </c>
      <c r="M1" t="s">
        <v>8</v>
      </c>
      <c r="N1" t="s">
        <v>9</v>
      </c>
      <c r="O1" t="s">
        <v>10</v>
      </c>
    </row>
    <row r="2" spans="3:15">
      <c r="D2" s="65"/>
      <c r="E2" s="66"/>
      <c r="F2" s="66"/>
      <c r="G2" s="55"/>
      <c r="H2" s="2"/>
      <c r="I2" s="45"/>
      <c r="J2" s="36"/>
      <c r="K2" s="46"/>
      <c r="L2" s="2"/>
      <c r="M2" s="45"/>
      <c r="N2" s="36"/>
      <c r="O2" s="67"/>
    </row>
    <row r="3" spans="3:15" ht="47.25" customHeight="1" thickBot="1">
      <c r="D3" s="105" t="s">
        <v>1</v>
      </c>
      <c r="E3" s="105" t="s">
        <v>2</v>
      </c>
      <c r="F3" s="105"/>
      <c r="G3" s="106" t="s">
        <v>2</v>
      </c>
      <c r="H3" s="107" t="s">
        <v>3</v>
      </c>
      <c r="I3" s="108" t="s">
        <v>4</v>
      </c>
      <c r="J3" s="107" t="s">
        <v>5</v>
      </c>
      <c r="K3" s="108" t="s">
        <v>6</v>
      </c>
      <c r="L3" s="107" t="s">
        <v>7</v>
      </c>
      <c r="M3" s="108" t="s">
        <v>8</v>
      </c>
      <c r="N3" s="107" t="s">
        <v>9</v>
      </c>
      <c r="O3" s="109" t="s">
        <v>10</v>
      </c>
    </row>
    <row r="4" spans="3:15" ht="15.75" thickTop="1">
      <c r="C4" t="s">
        <v>157</v>
      </c>
      <c r="D4">
        <v>122536</v>
      </c>
      <c r="E4">
        <v>49111</v>
      </c>
      <c r="F4" s="132">
        <v>0.40078833975321537</v>
      </c>
      <c r="G4">
        <v>73425</v>
      </c>
      <c r="H4">
        <v>2102</v>
      </c>
      <c r="I4">
        <v>1186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</row>
    <row r="5" spans="3:15">
      <c r="C5" t="s">
        <v>160</v>
      </c>
      <c r="D5">
        <v>123181</v>
      </c>
      <c r="E5">
        <v>39881</v>
      </c>
      <c r="F5" s="132">
        <v>0.32375934600303619</v>
      </c>
      <c r="G5">
        <v>83300</v>
      </c>
      <c r="H5" s="1">
        <v>2116</v>
      </c>
      <c r="I5" s="1">
        <v>1194</v>
      </c>
      <c r="J5" s="1">
        <v>4137</v>
      </c>
      <c r="K5" s="1">
        <v>1747</v>
      </c>
      <c r="L5" s="1">
        <v>0</v>
      </c>
      <c r="M5" s="1">
        <v>0</v>
      </c>
      <c r="N5" s="1">
        <v>0</v>
      </c>
      <c r="O5" s="70">
        <v>0</v>
      </c>
    </row>
    <row r="6" spans="3:15">
      <c r="C6" t="s">
        <v>162</v>
      </c>
      <c r="D6">
        <f>SUM(DATA!O138,DATA!O144:O148)</f>
        <v>123816</v>
      </c>
      <c r="E6">
        <f>D6-G6</f>
        <v>40002</v>
      </c>
      <c r="F6" s="132">
        <f>E6/D6</f>
        <v>0.32307617755378948</v>
      </c>
      <c r="G6">
        <f>SUM(DATA!Z138,DATA!Z144:Z148)</f>
        <v>83814</v>
      </c>
      <c r="H6" s="1">
        <f>SUM(DATA!P138,DATA!P144:P148)</f>
        <v>2125</v>
      </c>
      <c r="I6" s="1">
        <f>SUM(DATA!U138,DATA!U144:U148)</f>
        <v>1198</v>
      </c>
      <c r="J6" s="1">
        <f>SUM(DATA!Q138,DATA!Q144:Q148)</f>
        <v>4157</v>
      </c>
      <c r="K6" s="1">
        <f>SUM(DATA!V138,DATA!V144:V148)</f>
        <v>1754</v>
      </c>
      <c r="L6" s="1">
        <f>SUM(DATA!R138,DATA!R144:R148)</f>
        <v>3449</v>
      </c>
      <c r="M6" s="1">
        <f>SUM(DATA!W138,DATA!W144:W148)</f>
        <v>1722</v>
      </c>
      <c r="N6" s="1">
        <v>0</v>
      </c>
      <c r="O6" s="70">
        <v>0</v>
      </c>
    </row>
    <row r="7" spans="3:15">
      <c r="C7" t="s">
        <v>27</v>
      </c>
      <c r="D7">
        <f>SUM(DATA!O185,DATA!O188:O197)</f>
        <v>132594</v>
      </c>
      <c r="E7">
        <f>D7-G7</f>
        <v>40342</v>
      </c>
      <c r="F7" s="132">
        <f>E7/D7</f>
        <v>0.30425207777124152</v>
      </c>
      <c r="G7">
        <f>SUM(DATA!Z185,DATA!Z188:Z197)</f>
        <v>92252</v>
      </c>
      <c r="H7" s="1">
        <f>SUM(DATA!P185,DATA!P188:P197)</f>
        <v>2151</v>
      </c>
      <c r="I7" s="1">
        <f>SUM(DATA!U185,DATA!U188:U197)</f>
        <v>1201</v>
      </c>
      <c r="J7" s="1">
        <f>SUM(DATA!Q185,DATA!Q188:Q197)</f>
        <v>4941</v>
      </c>
      <c r="K7" s="1">
        <f>SUM(DATA!V185,DATA!V188:V197)</f>
        <v>1909</v>
      </c>
      <c r="L7" s="1">
        <f>SUM(DATA!R185,DATA!R188:R197)</f>
        <v>3605</v>
      </c>
      <c r="M7" s="1">
        <f>SUM(DATA!V185,DATA!V188:V197)</f>
        <v>1909</v>
      </c>
      <c r="N7" s="1">
        <v>0</v>
      </c>
      <c r="O7" s="70">
        <v>0</v>
      </c>
    </row>
  </sheetData>
  <conditionalFormatting sqref="D2:G3">
    <cfRule type="expression" dxfId="21" priority="7">
      <formula>ISERROR(D2)</formula>
    </cfRule>
  </conditionalFormatting>
  <conditionalFormatting sqref="H3:O3 H2:N2">
    <cfRule type="expression" dxfId="20" priority="9">
      <formula>ISERROR(H2)</formula>
    </cfRule>
  </conditionalFormatting>
  <conditionalFormatting sqref="O2">
    <cfRule type="expression" dxfId="19" priority="8">
      <formula>ISERROR(O2)</formula>
    </cfRule>
  </conditionalFormatting>
  <conditionalFormatting sqref="H6:O6">
    <cfRule type="expression" dxfId="18" priority="3">
      <formula>ISERROR(H6)</formula>
    </cfRule>
  </conditionalFormatting>
  <conditionalFormatting sqref="H5:O5">
    <cfRule type="expression" dxfId="17" priority="2">
      <formula>ISERROR(H5)</formula>
    </cfRule>
  </conditionalFormatting>
  <conditionalFormatting sqref="H7:O7">
    <cfRule type="expression" dxfId="16" priority="1">
      <formula>ISERROR(H7)</formula>
    </cfRule>
  </conditionalFormatting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Y89"/>
  <sheetViews>
    <sheetView workbookViewId="0">
      <selection activeCell="D21" sqref="D21"/>
    </sheetView>
  </sheetViews>
  <sheetFormatPr defaultRowHeight="15"/>
  <cols>
    <col min="4" max="4" width="10.7109375" bestFit="1" customWidth="1"/>
    <col min="9" max="9" width="66.42578125" bestFit="1" customWidth="1"/>
  </cols>
  <sheetData>
    <row r="1" spans="1:25">
      <c r="A1" t="s">
        <v>250</v>
      </c>
      <c r="I1" t="s">
        <v>189</v>
      </c>
      <c r="J1" t="s">
        <v>190</v>
      </c>
      <c r="K1" t="s">
        <v>191</v>
      </c>
      <c r="L1" t="s">
        <v>192</v>
      </c>
      <c r="M1" t="s">
        <v>193</v>
      </c>
      <c r="N1" t="s">
        <v>194</v>
      </c>
      <c r="O1" t="s">
        <v>195</v>
      </c>
      <c r="P1" t="s">
        <v>196</v>
      </c>
      <c r="Q1" t="s">
        <v>197</v>
      </c>
      <c r="R1" t="s">
        <v>198</v>
      </c>
      <c r="S1" t="s">
        <v>199</v>
      </c>
      <c r="T1" t="s">
        <v>200</v>
      </c>
      <c r="U1" t="s">
        <v>201</v>
      </c>
      <c r="V1" t="s">
        <v>202</v>
      </c>
      <c r="W1" t="s">
        <v>203</v>
      </c>
      <c r="X1" t="s">
        <v>204</v>
      </c>
    </row>
    <row r="2" spans="1:25">
      <c r="H2" s="193" t="s">
        <v>74</v>
      </c>
      <c r="I2">
        <f>IFERROR(VLOOKUP(I$1,$H$37:$N$51,MATCH($H2,$H$37:$N$37,0),FALSE),"0")</f>
        <v>45</v>
      </c>
      <c r="J2">
        <f t="shared" ref="J2:X2" si="0">IFERROR(VLOOKUP(J$1,$H$37:$N$51,MATCH($H2,$H$37:$N$37,0),FALSE),"0")</f>
        <v>47</v>
      </c>
      <c r="K2">
        <f t="shared" si="0"/>
        <v>33</v>
      </c>
      <c r="L2">
        <f t="shared" si="0"/>
        <v>4102</v>
      </c>
      <c r="M2">
        <f t="shared" si="0"/>
        <v>10</v>
      </c>
      <c r="N2">
        <f t="shared" si="0"/>
        <v>18</v>
      </c>
      <c r="O2">
        <f t="shared" si="0"/>
        <v>16</v>
      </c>
      <c r="P2" t="str">
        <f t="shared" si="0"/>
        <v>0</v>
      </c>
      <c r="Q2">
        <f t="shared" si="0"/>
        <v>32</v>
      </c>
      <c r="R2">
        <f t="shared" si="0"/>
        <v>1</v>
      </c>
      <c r="S2">
        <f t="shared" si="0"/>
        <v>8</v>
      </c>
      <c r="T2">
        <f t="shared" si="0"/>
        <v>17</v>
      </c>
      <c r="U2" t="str">
        <f t="shared" si="0"/>
        <v>0</v>
      </c>
      <c r="V2">
        <f t="shared" si="0"/>
        <v>2828</v>
      </c>
      <c r="W2">
        <f t="shared" si="0"/>
        <v>2595</v>
      </c>
      <c r="X2">
        <f t="shared" si="0"/>
        <v>9926</v>
      </c>
    </row>
    <row r="3" spans="1:25">
      <c r="A3" t="s">
        <v>186</v>
      </c>
      <c r="B3" s="8">
        <v>44670.411111111112</v>
      </c>
      <c r="C3" t="s">
        <v>206</v>
      </c>
      <c r="D3" s="7">
        <v>44652</v>
      </c>
      <c r="H3" s="194" t="s">
        <v>104</v>
      </c>
      <c r="I3">
        <f t="shared" ref="I3:X6" si="1">IFERROR(VLOOKUP(I$1,$H$37:$N$51,MATCH($H3,$H$37:$N$37,0),FALSE),"0")</f>
        <v>78</v>
      </c>
      <c r="J3">
        <f t="shared" si="1"/>
        <v>113</v>
      </c>
      <c r="K3">
        <f t="shared" si="1"/>
        <v>162</v>
      </c>
      <c r="L3">
        <f t="shared" si="1"/>
        <v>2874</v>
      </c>
      <c r="M3">
        <f t="shared" si="1"/>
        <v>13</v>
      </c>
      <c r="N3">
        <f t="shared" si="1"/>
        <v>57</v>
      </c>
      <c r="O3">
        <f t="shared" si="1"/>
        <v>8</v>
      </c>
      <c r="P3" t="str">
        <f t="shared" si="1"/>
        <v>0</v>
      </c>
      <c r="Q3">
        <f t="shared" si="1"/>
        <v>121</v>
      </c>
      <c r="R3">
        <f t="shared" si="1"/>
        <v>12</v>
      </c>
      <c r="S3">
        <f t="shared" si="1"/>
        <v>91</v>
      </c>
      <c r="T3">
        <f t="shared" si="1"/>
        <v>12</v>
      </c>
      <c r="U3" t="str">
        <f t="shared" si="1"/>
        <v>0</v>
      </c>
      <c r="V3">
        <f t="shared" si="1"/>
        <v>2112</v>
      </c>
      <c r="W3">
        <f t="shared" si="1"/>
        <v>1954</v>
      </c>
      <c r="X3">
        <f t="shared" si="1"/>
        <v>7223</v>
      </c>
    </row>
    <row r="4" spans="1:25">
      <c r="H4" s="193" t="s">
        <v>106</v>
      </c>
      <c r="I4">
        <f t="shared" si="1"/>
        <v>79</v>
      </c>
      <c r="J4">
        <f t="shared" si="1"/>
        <v>92</v>
      </c>
      <c r="K4">
        <f t="shared" si="1"/>
        <v>53</v>
      </c>
      <c r="L4">
        <f t="shared" si="1"/>
        <v>6783</v>
      </c>
      <c r="M4">
        <f t="shared" si="1"/>
        <v>5</v>
      </c>
      <c r="N4">
        <f t="shared" si="1"/>
        <v>9</v>
      </c>
      <c r="O4">
        <f t="shared" si="1"/>
        <v>62</v>
      </c>
      <c r="P4" t="str">
        <f t="shared" si="1"/>
        <v>0</v>
      </c>
      <c r="Q4">
        <f t="shared" si="1"/>
        <v>40</v>
      </c>
      <c r="R4">
        <f t="shared" si="1"/>
        <v>5</v>
      </c>
      <c r="S4">
        <f t="shared" si="1"/>
        <v>9</v>
      </c>
      <c r="T4">
        <f t="shared" si="1"/>
        <v>24</v>
      </c>
      <c r="U4" t="str">
        <f t="shared" si="1"/>
        <v>0</v>
      </c>
      <c r="V4">
        <f t="shared" si="1"/>
        <v>5045</v>
      </c>
      <c r="W4">
        <f t="shared" si="1"/>
        <v>4544</v>
      </c>
      <c r="X4">
        <f t="shared" si="1"/>
        <v>15925</v>
      </c>
    </row>
    <row r="5" spans="1:25">
      <c r="A5" t="s">
        <v>187</v>
      </c>
      <c r="B5" t="s">
        <v>205</v>
      </c>
      <c r="C5" t="s">
        <v>207</v>
      </c>
      <c r="H5" s="194" t="s">
        <v>72</v>
      </c>
      <c r="I5">
        <f t="shared" si="1"/>
        <v>55</v>
      </c>
      <c r="J5">
        <f t="shared" si="1"/>
        <v>60</v>
      </c>
      <c r="K5">
        <f t="shared" si="1"/>
        <v>93</v>
      </c>
      <c r="L5">
        <f t="shared" si="1"/>
        <v>5514</v>
      </c>
      <c r="M5">
        <f t="shared" si="1"/>
        <v>10</v>
      </c>
      <c r="N5">
        <f t="shared" si="1"/>
        <v>20</v>
      </c>
      <c r="O5">
        <f t="shared" si="1"/>
        <v>23</v>
      </c>
      <c r="P5" t="str">
        <f t="shared" si="1"/>
        <v>0</v>
      </c>
      <c r="Q5">
        <f t="shared" si="1"/>
        <v>87</v>
      </c>
      <c r="R5">
        <f t="shared" si="1"/>
        <v>16</v>
      </c>
      <c r="S5">
        <f t="shared" si="1"/>
        <v>32</v>
      </c>
      <c r="T5">
        <f t="shared" si="1"/>
        <v>31</v>
      </c>
      <c r="U5" t="str">
        <f t="shared" si="1"/>
        <v>0</v>
      </c>
      <c r="V5">
        <f t="shared" si="1"/>
        <v>3979</v>
      </c>
      <c r="W5">
        <f t="shared" si="1"/>
        <v>3602</v>
      </c>
      <c r="X5">
        <f t="shared" si="1"/>
        <v>15206</v>
      </c>
    </row>
    <row r="6" spans="1:25">
      <c r="A6">
        <v>46555</v>
      </c>
      <c r="B6">
        <v>23274</v>
      </c>
      <c r="C6">
        <v>23281</v>
      </c>
      <c r="H6" s="193" t="s">
        <v>42</v>
      </c>
      <c r="I6">
        <f t="shared" si="1"/>
        <v>3</v>
      </c>
      <c r="J6">
        <f t="shared" si="1"/>
        <v>5</v>
      </c>
      <c r="K6">
        <f t="shared" si="1"/>
        <v>2</v>
      </c>
      <c r="L6">
        <f t="shared" si="1"/>
        <v>2123</v>
      </c>
      <c r="M6">
        <f t="shared" si="1"/>
        <v>0</v>
      </c>
      <c r="N6">
        <f t="shared" si="1"/>
        <v>2</v>
      </c>
      <c r="O6">
        <f t="shared" si="1"/>
        <v>1</v>
      </c>
      <c r="P6" t="str">
        <f t="shared" si="1"/>
        <v>0</v>
      </c>
      <c r="Q6">
        <f t="shared" si="1"/>
        <v>2</v>
      </c>
      <c r="R6">
        <f t="shared" si="1"/>
        <v>0</v>
      </c>
      <c r="S6">
        <f t="shared" si="1"/>
        <v>1</v>
      </c>
      <c r="T6">
        <f t="shared" si="1"/>
        <v>1</v>
      </c>
      <c r="U6" t="str">
        <f t="shared" si="1"/>
        <v>0</v>
      </c>
      <c r="V6">
        <f t="shared" si="1"/>
        <v>1469</v>
      </c>
      <c r="W6">
        <f t="shared" si="1"/>
        <v>1378</v>
      </c>
      <c r="X6">
        <f t="shared" si="1"/>
        <v>5253</v>
      </c>
    </row>
    <row r="8" spans="1:25">
      <c r="B8" t="s">
        <v>29</v>
      </c>
      <c r="C8" t="s">
        <v>251</v>
      </c>
      <c r="D8" t="s">
        <v>107</v>
      </c>
    </row>
    <row r="9" spans="1:25">
      <c r="A9" t="s">
        <v>188</v>
      </c>
    </row>
    <row r="10" spans="1:25">
      <c r="A10" t="s">
        <v>252</v>
      </c>
      <c r="C10">
        <v>2680</v>
      </c>
      <c r="D10">
        <v>2680</v>
      </c>
    </row>
    <row r="11" spans="1:25">
      <c r="A11" t="s">
        <v>190</v>
      </c>
      <c r="C11">
        <v>193</v>
      </c>
      <c r="D11">
        <v>193</v>
      </c>
    </row>
    <row r="12" spans="1:25">
      <c r="A12" t="s">
        <v>189</v>
      </c>
      <c r="C12">
        <v>190</v>
      </c>
      <c r="D12">
        <v>190</v>
      </c>
    </row>
    <row r="13" spans="1:25">
      <c r="A13" t="s">
        <v>193</v>
      </c>
      <c r="C13">
        <v>7</v>
      </c>
      <c r="D13">
        <v>7</v>
      </c>
      <c r="I13" s="24" t="s">
        <v>209</v>
      </c>
      <c r="J13" t="s">
        <v>253</v>
      </c>
      <c r="K13" t="s">
        <v>165</v>
      </c>
      <c r="L13" t="s">
        <v>254</v>
      </c>
      <c r="M13" t="s">
        <v>255</v>
      </c>
      <c r="N13" t="s">
        <v>256</v>
      </c>
      <c r="O13" t="s">
        <v>257</v>
      </c>
      <c r="P13" t="s">
        <v>258</v>
      </c>
      <c r="Q13" t="s">
        <v>259</v>
      </c>
      <c r="R13" t="s">
        <v>260</v>
      </c>
      <c r="S13" t="s">
        <v>261</v>
      </c>
      <c r="T13" t="s">
        <v>262</v>
      </c>
      <c r="U13" t="s">
        <v>263</v>
      </c>
      <c r="V13" t="s">
        <v>264</v>
      </c>
      <c r="W13" t="s">
        <v>265</v>
      </c>
      <c r="X13" t="s">
        <v>266</v>
      </c>
      <c r="Y13" t="s">
        <v>267</v>
      </c>
    </row>
    <row r="14" spans="1:25">
      <c r="A14" t="s">
        <v>194</v>
      </c>
      <c r="C14">
        <v>87</v>
      </c>
      <c r="D14">
        <v>87</v>
      </c>
      <c r="I14" s="24">
        <v>44574</v>
      </c>
      <c r="J14" t="s">
        <v>268</v>
      </c>
      <c r="K14" t="s">
        <v>74</v>
      </c>
      <c r="L14">
        <v>9926</v>
      </c>
      <c r="M14">
        <v>47</v>
      </c>
      <c r="N14">
        <v>45</v>
      </c>
      <c r="O14">
        <v>10</v>
      </c>
      <c r="P14">
        <v>18</v>
      </c>
      <c r="Q14">
        <v>16</v>
      </c>
      <c r="R14">
        <v>33</v>
      </c>
      <c r="S14">
        <v>32</v>
      </c>
      <c r="T14">
        <v>1</v>
      </c>
      <c r="U14">
        <v>8</v>
      </c>
      <c r="V14">
        <v>17</v>
      </c>
      <c r="W14">
        <v>4102</v>
      </c>
      <c r="X14">
        <v>2828</v>
      </c>
      <c r="Y14">
        <v>2595</v>
      </c>
    </row>
    <row r="15" spans="1:25">
      <c r="A15" t="s">
        <v>195</v>
      </c>
      <c r="C15">
        <v>52</v>
      </c>
      <c r="D15">
        <v>52</v>
      </c>
      <c r="I15" s="24">
        <v>44574</v>
      </c>
      <c r="J15" t="s">
        <v>269</v>
      </c>
      <c r="K15" t="s">
        <v>104</v>
      </c>
      <c r="L15">
        <v>7223</v>
      </c>
      <c r="M15">
        <v>113</v>
      </c>
      <c r="N15">
        <v>78</v>
      </c>
      <c r="O15">
        <v>13</v>
      </c>
      <c r="P15">
        <v>57</v>
      </c>
      <c r="Q15">
        <v>8</v>
      </c>
      <c r="R15">
        <v>162</v>
      </c>
      <c r="S15">
        <v>121</v>
      </c>
      <c r="T15">
        <v>12</v>
      </c>
      <c r="U15">
        <v>91</v>
      </c>
      <c r="V15">
        <v>12</v>
      </c>
      <c r="W15">
        <v>2874</v>
      </c>
      <c r="X15">
        <v>2112</v>
      </c>
      <c r="Y15">
        <v>1954</v>
      </c>
    </row>
    <row r="16" spans="1:25">
      <c r="A16" t="s">
        <v>196</v>
      </c>
      <c r="C16">
        <v>48</v>
      </c>
      <c r="D16">
        <v>48</v>
      </c>
      <c r="I16" s="24">
        <v>44574</v>
      </c>
      <c r="J16" t="s">
        <v>270</v>
      </c>
      <c r="K16" t="s">
        <v>106</v>
      </c>
      <c r="L16">
        <v>15925</v>
      </c>
      <c r="M16">
        <v>92</v>
      </c>
      <c r="N16">
        <v>79</v>
      </c>
      <c r="O16">
        <v>5</v>
      </c>
      <c r="P16">
        <v>9</v>
      </c>
      <c r="Q16">
        <v>62</v>
      </c>
      <c r="R16">
        <v>53</v>
      </c>
      <c r="S16">
        <v>40</v>
      </c>
      <c r="T16">
        <v>5</v>
      </c>
      <c r="U16">
        <v>9</v>
      </c>
      <c r="V16">
        <v>24</v>
      </c>
      <c r="W16">
        <v>6783</v>
      </c>
      <c r="X16">
        <v>5045</v>
      </c>
      <c r="Y16">
        <v>4544</v>
      </c>
    </row>
    <row r="17" spans="1:25">
      <c r="A17" t="s">
        <v>191</v>
      </c>
      <c r="C17">
        <v>132</v>
      </c>
      <c r="D17">
        <v>132</v>
      </c>
      <c r="I17" s="24">
        <v>44574</v>
      </c>
      <c r="J17" t="s">
        <v>271</v>
      </c>
      <c r="K17" t="s">
        <v>72</v>
      </c>
      <c r="L17">
        <v>15206</v>
      </c>
      <c r="M17">
        <v>60</v>
      </c>
      <c r="N17">
        <v>55</v>
      </c>
      <c r="O17">
        <v>10</v>
      </c>
      <c r="P17">
        <v>20</v>
      </c>
      <c r="Q17">
        <v>23</v>
      </c>
      <c r="R17">
        <v>93</v>
      </c>
      <c r="S17">
        <v>87</v>
      </c>
      <c r="T17">
        <v>16</v>
      </c>
      <c r="U17">
        <v>32</v>
      </c>
      <c r="V17">
        <v>31</v>
      </c>
      <c r="W17">
        <v>5514</v>
      </c>
      <c r="X17">
        <v>3979</v>
      </c>
      <c r="Y17">
        <v>3602</v>
      </c>
    </row>
    <row r="18" spans="1:25">
      <c r="A18" t="s">
        <v>197</v>
      </c>
      <c r="C18">
        <v>129</v>
      </c>
      <c r="D18">
        <v>129</v>
      </c>
      <c r="I18" s="24">
        <v>44574</v>
      </c>
      <c r="J18" t="s">
        <v>111</v>
      </c>
      <c r="K18" t="s">
        <v>42</v>
      </c>
      <c r="L18">
        <v>5253</v>
      </c>
      <c r="M18">
        <v>5</v>
      </c>
      <c r="N18">
        <v>3</v>
      </c>
      <c r="P18">
        <v>2</v>
      </c>
      <c r="Q18">
        <v>1</v>
      </c>
      <c r="R18">
        <v>2</v>
      </c>
      <c r="S18">
        <v>2</v>
      </c>
      <c r="U18">
        <v>1</v>
      </c>
      <c r="V18">
        <v>1</v>
      </c>
      <c r="W18">
        <v>2123</v>
      </c>
      <c r="X18">
        <v>1469</v>
      </c>
      <c r="Y18">
        <v>1378</v>
      </c>
    </row>
    <row r="19" spans="1:25">
      <c r="A19" t="s">
        <v>198</v>
      </c>
      <c r="C19">
        <v>0</v>
      </c>
      <c r="D19">
        <v>0</v>
      </c>
    </row>
    <row r="20" spans="1:25">
      <c r="A20" t="s">
        <v>199</v>
      </c>
      <c r="C20">
        <v>35</v>
      </c>
      <c r="D20">
        <v>35</v>
      </c>
    </row>
    <row r="21" spans="1:25">
      <c r="A21" t="s">
        <v>200</v>
      </c>
      <c r="C21">
        <v>48</v>
      </c>
      <c r="D21">
        <v>48</v>
      </c>
    </row>
    <row r="22" spans="1:25">
      <c r="A22" t="s">
        <v>201</v>
      </c>
      <c r="C22">
        <v>46</v>
      </c>
      <c r="D22">
        <v>46</v>
      </c>
    </row>
    <row r="23" spans="1:25">
      <c r="A23" t="s">
        <v>192</v>
      </c>
      <c r="C23">
        <v>1385</v>
      </c>
      <c r="D23">
        <v>1385</v>
      </c>
    </row>
    <row r="24" spans="1:25">
      <c r="A24" t="s">
        <v>202</v>
      </c>
      <c r="C24">
        <v>1381</v>
      </c>
      <c r="D24">
        <v>1381</v>
      </c>
    </row>
    <row r="25" spans="1:25">
      <c r="A25" t="s">
        <v>203</v>
      </c>
      <c r="C25">
        <v>1365</v>
      </c>
      <c r="D25">
        <v>1365</v>
      </c>
    </row>
    <row r="26" spans="1:25">
      <c r="A26" t="s">
        <v>89</v>
      </c>
      <c r="C26">
        <v>4928</v>
      </c>
      <c r="D26">
        <v>4928</v>
      </c>
    </row>
    <row r="27" spans="1:25">
      <c r="A27" t="s">
        <v>190</v>
      </c>
      <c r="C27">
        <v>136</v>
      </c>
      <c r="D27">
        <v>136</v>
      </c>
    </row>
    <row r="28" spans="1:25">
      <c r="A28" t="s">
        <v>189</v>
      </c>
      <c r="C28">
        <v>136</v>
      </c>
      <c r="D28">
        <v>136</v>
      </c>
      <c r="I28" t="s">
        <v>209</v>
      </c>
      <c r="J28" t="s">
        <v>253</v>
      </c>
      <c r="K28" t="s">
        <v>165</v>
      </c>
      <c r="L28" t="s">
        <v>254</v>
      </c>
      <c r="M28" t="s">
        <v>255</v>
      </c>
      <c r="N28" t="s">
        <v>256</v>
      </c>
      <c r="O28" t="s">
        <v>257</v>
      </c>
      <c r="P28" t="s">
        <v>258</v>
      </c>
      <c r="Q28" t="s">
        <v>259</v>
      </c>
      <c r="R28" t="s">
        <v>260</v>
      </c>
      <c r="S28" t="s">
        <v>261</v>
      </c>
      <c r="T28" t="s">
        <v>262</v>
      </c>
      <c r="U28" t="s">
        <v>263</v>
      </c>
      <c r="V28" t="s">
        <v>264</v>
      </c>
      <c r="W28" t="s">
        <v>265</v>
      </c>
      <c r="X28" t="s">
        <v>266</v>
      </c>
      <c r="Y28" t="s">
        <v>267</v>
      </c>
    </row>
    <row r="29" spans="1:25">
      <c r="A29" t="s">
        <v>193</v>
      </c>
      <c r="C29">
        <v>3</v>
      </c>
      <c r="D29">
        <v>3</v>
      </c>
      <c r="I29" s="24">
        <v>44574</v>
      </c>
      <c r="J29" t="s">
        <v>268</v>
      </c>
      <c r="K29" t="s">
        <v>74</v>
      </c>
      <c r="L29">
        <v>9926</v>
      </c>
      <c r="M29">
        <v>47</v>
      </c>
      <c r="N29">
        <v>45</v>
      </c>
      <c r="O29">
        <v>10</v>
      </c>
      <c r="P29">
        <v>18</v>
      </c>
      <c r="Q29">
        <v>16</v>
      </c>
      <c r="R29">
        <v>33</v>
      </c>
      <c r="S29">
        <v>32</v>
      </c>
      <c r="T29">
        <v>1</v>
      </c>
      <c r="U29">
        <v>8</v>
      </c>
      <c r="V29">
        <v>17</v>
      </c>
      <c r="W29">
        <v>4102</v>
      </c>
      <c r="X29">
        <v>2828</v>
      </c>
      <c r="Y29">
        <v>2595</v>
      </c>
    </row>
    <row r="30" spans="1:25">
      <c r="A30" t="s">
        <v>194</v>
      </c>
      <c r="C30">
        <v>78</v>
      </c>
      <c r="D30">
        <v>78</v>
      </c>
      <c r="I30" s="24">
        <v>44574</v>
      </c>
      <c r="J30" t="s">
        <v>269</v>
      </c>
      <c r="K30" t="s">
        <v>104</v>
      </c>
      <c r="L30">
        <v>7223</v>
      </c>
      <c r="M30">
        <v>113</v>
      </c>
      <c r="N30">
        <v>78</v>
      </c>
      <c r="O30">
        <v>13</v>
      </c>
      <c r="P30">
        <v>57</v>
      </c>
      <c r="Q30">
        <v>8</v>
      </c>
      <c r="R30">
        <v>162</v>
      </c>
      <c r="S30">
        <v>121</v>
      </c>
      <c r="T30">
        <v>12</v>
      </c>
      <c r="U30">
        <v>91</v>
      </c>
      <c r="V30">
        <v>12</v>
      </c>
      <c r="W30">
        <v>2874</v>
      </c>
      <c r="X30">
        <v>2112</v>
      </c>
      <c r="Y30">
        <v>1954</v>
      </c>
    </row>
    <row r="31" spans="1:25">
      <c r="A31" t="s">
        <v>195</v>
      </c>
      <c r="C31">
        <v>16</v>
      </c>
      <c r="D31">
        <v>16</v>
      </c>
      <c r="I31" s="24">
        <v>44574</v>
      </c>
      <c r="J31" t="s">
        <v>270</v>
      </c>
      <c r="K31" t="s">
        <v>106</v>
      </c>
      <c r="L31">
        <v>15925</v>
      </c>
      <c r="M31">
        <v>92</v>
      </c>
      <c r="N31">
        <v>79</v>
      </c>
      <c r="O31">
        <v>5</v>
      </c>
      <c r="P31">
        <v>9</v>
      </c>
      <c r="Q31">
        <v>62</v>
      </c>
      <c r="R31">
        <v>53</v>
      </c>
      <c r="S31">
        <v>40</v>
      </c>
      <c r="T31">
        <v>5</v>
      </c>
      <c r="U31">
        <v>9</v>
      </c>
      <c r="V31">
        <v>24</v>
      </c>
      <c r="W31">
        <v>6783</v>
      </c>
      <c r="X31">
        <v>5045</v>
      </c>
      <c r="Y31">
        <v>4544</v>
      </c>
    </row>
    <row r="32" spans="1:25">
      <c r="A32" t="s">
        <v>196</v>
      </c>
      <c r="C32">
        <v>40</v>
      </c>
      <c r="D32">
        <v>40</v>
      </c>
      <c r="I32" s="24">
        <v>44574</v>
      </c>
      <c r="J32" t="s">
        <v>271</v>
      </c>
      <c r="K32" t="s">
        <v>72</v>
      </c>
      <c r="L32">
        <v>15206</v>
      </c>
      <c r="M32">
        <v>60</v>
      </c>
      <c r="N32">
        <v>55</v>
      </c>
      <c r="O32">
        <v>10</v>
      </c>
      <c r="P32">
        <v>20</v>
      </c>
      <c r="Q32">
        <v>23</v>
      </c>
      <c r="R32">
        <v>93</v>
      </c>
      <c r="S32">
        <v>87</v>
      </c>
      <c r="T32">
        <v>16</v>
      </c>
      <c r="U32">
        <v>32</v>
      </c>
      <c r="V32">
        <v>31</v>
      </c>
      <c r="W32">
        <v>5514</v>
      </c>
      <c r="X32">
        <v>3979</v>
      </c>
      <c r="Y32">
        <v>3602</v>
      </c>
    </row>
    <row r="33" spans="1:25">
      <c r="A33" t="s">
        <v>191</v>
      </c>
      <c r="C33">
        <v>69</v>
      </c>
      <c r="D33">
        <v>69</v>
      </c>
      <c r="I33" s="24">
        <v>44574</v>
      </c>
      <c r="J33" t="s">
        <v>111</v>
      </c>
      <c r="K33" t="s">
        <v>42</v>
      </c>
      <c r="L33">
        <v>5253</v>
      </c>
      <c r="M33">
        <v>5</v>
      </c>
      <c r="N33">
        <v>3</v>
      </c>
      <c r="P33">
        <v>2</v>
      </c>
      <c r="Q33">
        <v>1</v>
      </c>
      <c r="R33">
        <v>2</v>
      </c>
      <c r="S33">
        <v>2</v>
      </c>
      <c r="U33">
        <v>1</v>
      </c>
      <c r="V33">
        <v>1</v>
      </c>
      <c r="W33">
        <v>2123</v>
      </c>
      <c r="X33">
        <v>1469</v>
      </c>
      <c r="Y33">
        <v>1378</v>
      </c>
    </row>
    <row r="34" spans="1:25">
      <c r="A34" t="s">
        <v>197</v>
      </c>
      <c r="C34">
        <v>69</v>
      </c>
      <c r="D34">
        <v>69</v>
      </c>
    </row>
    <row r="35" spans="1:25">
      <c r="A35" t="s">
        <v>198</v>
      </c>
      <c r="C35">
        <v>0</v>
      </c>
      <c r="D35">
        <v>0</v>
      </c>
      <c r="I35" t="s">
        <v>209</v>
      </c>
      <c r="J35">
        <v>44574</v>
      </c>
      <c r="K35">
        <v>44574</v>
      </c>
      <c r="L35">
        <v>44574</v>
      </c>
      <c r="M35">
        <v>44574</v>
      </c>
      <c r="N35">
        <v>44574</v>
      </c>
    </row>
    <row r="36" spans="1:25">
      <c r="A36" t="s">
        <v>199</v>
      </c>
      <c r="C36">
        <v>18</v>
      </c>
      <c r="D36">
        <v>18</v>
      </c>
      <c r="I36" t="s">
        <v>253</v>
      </c>
      <c r="J36" t="s">
        <v>268</v>
      </c>
      <c r="K36" t="s">
        <v>269</v>
      </c>
      <c r="L36" t="s">
        <v>270</v>
      </c>
      <c r="M36" t="s">
        <v>271</v>
      </c>
      <c r="N36" t="s">
        <v>111</v>
      </c>
    </row>
    <row r="37" spans="1:25">
      <c r="A37" t="s">
        <v>200</v>
      </c>
      <c r="C37">
        <v>13</v>
      </c>
      <c r="D37">
        <v>13</v>
      </c>
      <c r="I37" t="s">
        <v>165</v>
      </c>
      <c r="J37" t="s">
        <v>74</v>
      </c>
      <c r="K37" t="s">
        <v>104</v>
      </c>
      <c r="L37" t="s">
        <v>106</v>
      </c>
      <c r="M37" t="s">
        <v>72</v>
      </c>
      <c r="N37" t="s">
        <v>42</v>
      </c>
    </row>
    <row r="38" spans="1:25">
      <c r="A38" t="s">
        <v>201</v>
      </c>
      <c r="C38">
        <v>38</v>
      </c>
      <c r="D38">
        <v>38</v>
      </c>
      <c r="H38" t="s">
        <v>204</v>
      </c>
      <c r="I38" t="s">
        <v>254</v>
      </c>
      <c r="J38">
        <v>9926</v>
      </c>
      <c r="K38">
        <v>7223</v>
      </c>
      <c r="L38">
        <v>15925</v>
      </c>
      <c r="M38">
        <v>15206</v>
      </c>
      <c r="N38">
        <v>5253</v>
      </c>
    </row>
    <row r="39" spans="1:25">
      <c r="A39" t="s">
        <v>192</v>
      </c>
      <c r="C39">
        <v>2405</v>
      </c>
      <c r="D39">
        <v>2405</v>
      </c>
      <c r="H39" t="s">
        <v>190</v>
      </c>
      <c r="I39" t="s">
        <v>255</v>
      </c>
      <c r="J39">
        <v>47</v>
      </c>
      <c r="K39">
        <v>113</v>
      </c>
      <c r="L39">
        <v>92</v>
      </c>
      <c r="M39">
        <v>60</v>
      </c>
      <c r="N39">
        <v>5</v>
      </c>
    </row>
    <row r="40" spans="1:25">
      <c r="A40" t="s">
        <v>202</v>
      </c>
      <c r="C40">
        <v>2399</v>
      </c>
      <c r="D40">
        <v>2399</v>
      </c>
      <c r="H40" t="s">
        <v>189</v>
      </c>
      <c r="I40" t="s">
        <v>256</v>
      </c>
      <c r="J40">
        <v>45</v>
      </c>
      <c r="K40">
        <v>78</v>
      </c>
      <c r="L40">
        <v>79</v>
      </c>
      <c r="M40">
        <v>55</v>
      </c>
      <c r="N40">
        <v>3</v>
      </c>
    </row>
    <row r="41" spans="1:25">
      <c r="A41" t="s">
        <v>203</v>
      </c>
      <c r="C41">
        <v>2375</v>
      </c>
      <c r="D41">
        <v>2375</v>
      </c>
      <c r="H41" t="s">
        <v>193</v>
      </c>
      <c r="I41" t="s">
        <v>257</v>
      </c>
      <c r="J41">
        <v>10</v>
      </c>
      <c r="K41">
        <v>13</v>
      </c>
      <c r="L41">
        <v>5</v>
      </c>
      <c r="M41">
        <v>10</v>
      </c>
    </row>
    <row r="42" spans="1:25">
      <c r="A42" t="s">
        <v>85</v>
      </c>
      <c r="C42">
        <v>2591</v>
      </c>
      <c r="D42">
        <v>2591</v>
      </c>
      <c r="H42" t="s">
        <v>194</v>
      </c>
      <c r="I42" t="s">
        <v>258</v>
      </c>
      <c r="J42">
        <v>18</v>
      </c>
      <c r="K42">
        <v>57</v>
      </c>
      <c r="L42">
        <v>9</v>
      </c>
      <c r="M42">
        <v>20</v>
      </c>
      <c r="N42">
        <v>2</v>
      </c>
    </row>
    <row r="43" spans="1:25">
      <c r="A43" t="s">
        <v>190</v>
      </c>
      <c r="C43">
        <v>389</v>
      </c>
      <c r="D43">
        <v>389</v>
      </c>
      <c r="H43" t="s">
        <v>195</v>
      </c>
      <c r="I43" t="s">
        <v>259</v>
      </c>
      <c r="J43">
        <v>16</v>
      </c>
      <c r="K43">
        <v>8</v>
      </c>
      <c r="L43">
        <v>62</v>
      </c>
      <c r="M43">
        <v>23</v>
      </c>
      <c r="N43">
        <v>1</v>
      </c>
    </row>
    <row r="44" spans="1:25">
      <c r="A44" t="s">
        <v>189</v>
      </c>
      <c r="C44">
        <v>389</v>
      </c>
      <c r="D44">
        <v>389</v>
      </c>
      <c r="H44" t="s">
        <v>191</v>
      </c>
      <c r="I44" t="s">
        <v>260</v>
      </c>
      <c r="J44">
        <v>33</v>
      </c>
      <c r="K44">
        <v>162</v>
      </c>
      <c r="L44">
        <v>53</v>
      </c>
      <c r="M44">
        <v>93</v>
      </c>
      <c r="N44">
        <v>2</v>
      </c>
    </row>
    <row r="45" spans="1:25">
      <c r="A45" t="s">
        <v>193</v>
      </c>
      <c r="C45">
        <v>1</v>
      </c>
      <c r="D45">
        <v>1</v>
      </c>
      <c r="H45" t="s">
        <v>197</v>
      </c>
      <c r="I45" t="s">
        <v>261</v>
      </c>
      <c r="J45">
        <v>32</v>
      </c>
      <c r="K45">
        <v>121</v>
      </c>
      <c r="L45">
        <v>40</v>
      </c>
      <c r="M45">
        <v>87</v>
      </c>
      <c r="N45">
        <v>2</v>
      </c>
    </row>
    <row r="46" spans="1:25">
      <c r="A46" t="s">
        <v>194</v>
      </c>
      <c r="C46">
        <v>356</v>
      </c>
      <c r="D46">
        <v>356</v>
      </c>
      <c r="H46" t="s">
        <v>198</v>
      </c>
      <c r="I46" t="s">
        <v>262</v>
      </c>
      <c r="J46">
        <v>1</v>
      </c>
      <c r="K46">
        <v>12</v>
      </c>
      <c r="L46">
        <v>5</v>
      </c>
      <c r="M46">
        <v>16</v>
      </c>
    </row>
    <row r="47" spans="1:25">
      <c r="A47" t="s">
        <v>195</v>
      </c>
      <c r="C47">
        <v>15</v>
      </c>
      <c r="D47">
        <v>15</v>
      </c>
      <c r="H47" t="s">
        <v>199</v>
      </c>
      <c r="I47" t="s">
        <v>263</v>
      </c>
      <c r="J47">
        <v>8</v>
      </c>
      <c r="K47">
        <v>91</v>
      </c>
      <c r="L47">
        <v>9</v>
      </c>
      <c r="M47">
        <v>32</v>
      </c>
      <c r="N47">
        <v>1</v>
      </c>
    </row>
    <row r="48" spans="1:25">
      <c r="A48" t="s">
        <v>196</v>
      </c>
      <c r="C48">
        <v>35</v>
      </c>
      <c r="D48">
        <v>35</v>
      </c>
      <c r="H48" t="s">
        <v>200</v>
      </c>
      <c r="I48" t="s">
        <v>264</v>
      </c>
      <c r="J48">
        <v>17</v>
      </c>
      <c r="K48">
        <v>12</v>
      </c>
      <c r="L48">
        <v>24</v>
      </c>
      <c r="M48">
        <v>31</v>
      </c>
      <c r="N48">
        <v>1</v>
      </c>
    </row>
    <row r="49" spans="1:14">
      <c r="A49" t="s">
        <v>191</v>
      </c>
      <c r="C49">
        <v>85</v>
      </c>
      <c r="D49">
        <v>85</v>
      </c>
      <c r="H49" t="s">
        <v>192</v>
      </c>
      <c r="I49" t="s">
        <v>265</v>
      </c>
      <c r="J49">
        <v>4102</v>
      </c>
      <c r="K49">
        <v>2874</v>
      </c>
      <c r="L49">
        <v>6783</v>
      </c>
      <c r="M49">
        <v>5514</v>
      </c>
      <c r="N49">
        <v>2123</v>
      </c>
    </row>
    <row r="50" spans="1:14">
      <c r="A50" t="s">
        <v>197</v>
      </c>
      <c r="C50">
        <v>85</v>
      </c>
      <c r="D50">
        <v>85</v>
      </c>
      <c r="H50" t="s">
        <v>202</v>
      </c>
      <c r="I50" t="s">
        <v>266</v>
      </c>
      <c r="J50">
        <v>2828</v>
      </c>
      <c r="K50">
        <v>2112</v>
      </c>
      <c r="L50">
        <v>5045</v>
      </c>
      <c r="M50">
        <v>3979</v>
      </c>
      <c r="N50">
        <v>1469</v>
      </c>
    </row>
    <row r="51" spans="1:14">
      <c r="A51" t="s">
        <v>198</v>
      </c>
      <c r="C51">
        <v>0</v>
      </c>
      <c r="D51">
        <v>0</v>
      </c>
      <c r="H51" t="s">
        <v>203</v>
      </c>
      <c r="I51" t="s">
        <v>267</v>
      </c>
      <c r="J51">
        <v>2595</v>
      </c>
      <c r="K51">
        <v>1954</v>
      </c>
      <c r="L51">
        <v>4544</v>
      </c>
      <c r="M51">
        <v>3602</v>
      </c>
      <c r="N51">
        <v>1378</v>
      </c>
    </row>
    <row r="52" spans="1:14">
      <c r="A52" t="s">
        <v>199</v>
      </c>
      <c r="C52">
        <v>36</v>
      </c>
      <c r="D52">
        <v>36</v>
      </c>
    </row>
    <row r="53" spans="1:14">
      <c r="A53" t="s">
        <v>200</v>
      </c>
      <c r="C53">
        <v>15</v>
      </c>
      <c r="D53">
        <v>15</v>
      </c>
      <c r="I53" t="s">
        <v>189</v>
      </c>
    </row>
    <row r="54" spans="1:14">
      <c r="A54" t="s">
        <v>201</v>
      </c>
      <c r="C54">
        <v>34</v>
      </c>
      <c r="D54">
        <v>34</v>
      </c>
      <c r="I54" t="s">
        <v>190</v>
      </c>
    </row>
    <row r="55" spans="1:14">
      <c r="A55" t="s">
        <v>192</v>
      </c>
      <c r="C55">
        <v>1258</v>
      </c>
      <c r="D55">
        <v>1258</v>
      </c>
      <c r="I55" t="s">
        <v>191</v>
      </c>
    </row>
    <row r="56" spans="1:14">
      <c r="A56" t="s">
        <v>202</v>
      </c>
      <c r="C56">
        <v>1252</v>
      </c>
      <c r="D56">
        <v>1252</v>
      </c>
      <c r="I56" t="s">
        <v>192</v>
      </c>
    </row>
    <row r="57" spans="1:14">
      <c r="A57" t="s">
        <v>203</v>
      </c>
      <c r="C57">
        <v>1251</v>
      </c>
      <c r="D57">
        <v>1251</v>
      </c>
      <c r="I57" t="s">
        <v>193</v>
      </c>
    </row>
    <row r="58" spans="1:14">
      <c r="A58" t="s">
        <v>272</v>
      </c>
      <c r="C58">
        <v>3500</v>
      </c>
      <c r="D58">
        <v>3500</v>
      </c>
      <c r="I58" t="s">
        <v>194</v>
      </c>
    </row>
    <row r="59" spans="1:14">
      <c r="A59" t="s">
        <v>190</v>
      </c>
      <c r="C59">
        <v>297</v>
      </c>
      <c r="D59">
        <v>297</v>
      </c>
      <c r="I59" t="s">
        <v>195</v>
      </c>
    </row>
    <row r="60" spans="1:14">
      <c r="A60" t="s">
        <v>189</v>
      </c>
      <c r="C60">
        <v>293</v>
      </c>
      <c r="D60">
        <v>293</v>
      </c>
      <c r="I60" t="s">
        <v>196</v>
      </c>
    </row>
    <row r="61" spans="1:14">
      <c r="A61" t="s">
        <v>193</v>
      </c>
      <c r="C61">
        <v>5</v>
      </c>
      <c r="D61">
        <v>5</v>
      </c>
      <c r="I61" t="s">
        <v>197</v>
      </c>
    </row>
    <row r="62" spans="1:14">
      <c r="A62" t="s">
        <v>194</v>
      </c>
      <c r="C62">
        <v>192</v>
      </c>
      <c r="D62">
        <v>192</v>
      </c>
      <c r="I62" t="s">
        <v>198</v>
      </c>
    </row>
    <row r="63" spans="1:14">
      <c r="A63" t="s">
        <v>195</v>
      </c>
      <c r="C63">
        <v>43</v>
      </c>
      <c r="D63">
        <v>43</v>
      </c>
      <c r="I63" t="s">
        <v>199</v>
      </c>
    </row>
    <row r="64" spans="1:14">
      <c r="A64" t="s">
        <v>196</v>
      </c>
      <c r="C64">
        <v>75</v>
      </c>
      <c r="D64">
        <v>75</v>
      </c>
      <c r="I64" t="s">
        <v>200</v>
      </c>
    </row>
    <row r="65" spans="1:9">
      <c r="A65" t="s">
        <v>191</v>
      </c>
      <c r="C65">
        <v>155</v>
      </c>
      <c r="D65">
        <v>155</v>
      </c>
      <c r="I65" t="s">
        <v>201</v>
      </c>
    </row>
    <row r="66" spans="1:9">
      <c r="A66" t="s">
        <v>197</v>
      </c>
      <c r="C66">
        <v>152</v>
      </c>
      <c r="D66">
        <v>152</v>
      </c>
      <c r="I66" t="s">
        <v>202</v>
      </c>
    </row>
    <row r="67" spans="1:9">
      <c r="A67" t="s">
        <v>198</v>
      </c>
      <c r="C67">
        <v>0</v>
      </c>
      <c r="D67">
        <v>0</v>
      </c>
      <c r="I67" t="s">
        <v>203</v>
      </c>
    </row>
    <row r="68" spans="1:9">
      <c r="A68" t="s">
        <v>199</v>
      </c>
      <c r="C68">
        <v>39</v>
      </c>
      <c r="D68">
        <v>39</v>
      </c>
      <c r="I68" t="s">
        <v>204</v>
      </c>
    </row>
    <row r="69" spans="1:9">
      <c r="A69" t="s">
        <v>200</v>
      </c>
      <c r="C69">
        <v>43</v>
      </c>
      <c r="D69">
        <v>43</v>
      </c>
    </row>
    <row r="70" spans="1:9">
      <c r="A70" t="s">
        <v>201</v>
      </c>
      <c r="C70">
        <v>70</v>
      </c>
      <c r="D70">
        <v>70</v>
      </c>
    </row>
    <row r="71" spans="1:9">
      <c r="A71" t="s">
        <v>192</v>
      </c>
      <c r="C71">
        <v>1718</v>
      </c>
      <c r="D71">
        <v>1718</v>
      </c>
    </row>
    <row r="72" spans="1:9">
      <c r="A72" t="s">
        <v>202</v>
      </c>
      <c r="C72">
        <v>1708</v>
      </c>
      <c r="D72">
        <v>1708</v>
      </c>
    </row>
    <row r="73" spans="1:9">
      <c r="A73" t="s">
        <v>203</v>
      </c>
      <c r="C73">
        <v>1691</v>
      </c>
      <c r="D73">
        <v>1691</v>
      </c>
    </row>
    <row r="74" spans="1:9">
      <c r="A74" t="s">
        <v>111</v>
      </c>
      <c r="C74">
        <v>3329</v>
      </c>
      <c r="D74">
        <v>3329</v>
      </c>
    </row>
    <row r="75" spans="1:9">
      <c r="A75" t="s">
        <v>190</v>
      </c>
      <c r="C75">
        <v>99</v>
      </c>
      <c r="D75">
        <v>99</v>
      </c>
    </row>
    <row r="76" spans="1:9">
      <c r="A76" t="s">
        <v>189</v>
      </c>
      <c r="C76">
        <v>99</v>
      </c>
      <c r="D76">
        <v>99</v>
      </c>
    </row>
    <row r="77" spans="1:9">
      <c r="A77" t="s">
        <v>193</v>
      </c>
      <c r="C77">
        <v>3</v>
      </c>
      <c r="D77">
        <v>3</v>
      </c>
    </row>
    <row r="78" spans="1:9">
      <c r="A78" t="s">
        <v>194</v>
      </c>
      <c r="C78">
        <v>39</v>
      </c>
      <c r="D78">
        <v>39</v>
      </c>
    </row>
    <row r="79" spans="1:9">
      <c r="A79" t="s">
        <v>195</v>
      </c>
      <c r="C79">
        <v>8</v>
      </c>
      <c r="D79">
        <v>8</v>
      </c>
    </row>
    <row r="80" spans="1:9">
      <c r="A80" t="s">
        <v>196</v>
      </c>
      <c r="C80">
        <v>51</v>
      </c>
      <c r="D80">
        <v>51</v>
      </c>
    </row>
    <row r="81" spans="1:4">
      <c r="A81" t="s">
        <v>191</v>
      </c>
      <c r="C81">
        <v>68</v>
      </c>
      <c r="D81">
        <v>68</v>
      </c>
    </row>
    <row r="82" spans="1:4">
      <c r="A82" t="s">
        <v>197</v>
      </c>
      <c r="C82">
        <v>68</v>
      </c>
      <c r="D82">
        <v>68</v>
      </c>
    </row>
    <row r="83" spans="1:4">
      <c r="A83" t="s">
        <v>198</v>
      </c>
      <c r="C83">
        <v>0</v>
      </c>
      <c r="D83">
        <v>0</v>
      </c>
    </row>
    <row r="84" spans="1:4">
      <c r="A84" t="s">
        <v>199</v>
      </c>
      <c r="C84">
        <v>12</v>
      </c>
      <c r="D84">
        <v>12</v>
      </c>
    </row>
    <row r="85" spans="1:4">
      <c r="A85" t="s">
        <v>200</v>
      </c>
      <c r="C85">
        <v>8</v>
      </c>
      <c r="D85">
        <v>8</v>
      </c>
    </row>
    <row r="86" spans="1:4">
      <c r="A86" t="s">
        <v>201</v>
      </c>
      <c r="C86">
        <v>48</v>
      </c>
      <c r="D86">
        <v>48</v>
      </c>
    </row>
    <row r="87" spans="1:4">
      <c r="A87" t="s">
        <v>192</v>
      </c>
      <c r="C87">
        <v>1496</v>
      </c>
      <c r="D87">
        <v>1496</v>
      </c>
    </row>
    <row r="88" spans="1:4">
      <c r="A88" t="s">
        <v>202</v>
      </c>
      <c r="C88">
        <v>1486</v>
      </c>
      <c r="D88">
        <v>1486</v>
      </c>
    </row>
    <row r="89" spans="1:4">
      <c r="A89" t="s">
        <v>203</v>
      </c>
      <c r="C89">
        <v>1467</v>
      </c>
      <c r="D89">
        <v>1467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TaxCatchAll xmlns="d5efd484-15aa-41a0-83f6-0646502cb6d6">
      <Value>1</Value>
    </TaxCatchAll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3.xml>�� 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F553BF34473073438DF49462F72B571E" ma:contentTypeVersion="29" ma:contentTypeDescription="" ma:contentTypeScope="" ma:versionID="dae64be7dbe978c25200ba8eefe331b3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f995a362-f1ea-4f36-a838-e742602ff8dc" xmlns:ns4="97028615-ed06-4374-97e7-2451ae5b7b94" targetNamespace="http://schemas.microsoft.com/office/2006/metadata/properties" ma:root="true" ma:fieldsID="5391e764273d9f8e1121cc67f54bbb77" ns1:_="" ns2:_="" ns3:_="" ns4:_="">
    <xsd:import namespace="http://schemas.microsoft.com/sharepoint/v3"/>
    <xsd:import namespace="d5efd484-15aa-41a0-83f6-0646502cb6d6"/>
    <xsd:import namespace="f995a362-f1ea-4f36-a838-e742602ff8dc"/>
    <xsd:import namespace="97028615-ed06-4374-97e7-2451ae5b7b94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0113816-2fcb-4fe8-a08a-70a0f04fce54}" ma:internalName="TaxCatchAll" ma:showField="CatchAllData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0113816-2fcb-4fe8-a08a-70a0f04fce54}" ma:internalName="TaxCatchAllLabel" ma:readOnly="true" ma:showField="CatchAllDataLabel" ma:web="97028615-ed06-4374-97e7-2451ae5b7b9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95a362-f1ea-4f36-a838-e742602ff8d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3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028615-ed06-4374-97e7-2451ae5b7b94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Props1.xml><?xml version="1.0" encoding="utf-8"?>
<ds:datastoreItem xmlns:ds="http://schemas.openxmlformats.org/officeDocument/2006/customXml" ds:itemID="{4478D936-2B19-43F1-8BF9-2245D4C027A3}"/>
</file>

<file path=customXml/itemProps2.xml><?xml version="1.0" encoding="utf-8"?>
<ds:datastoreItem xmlns:ds="http://schemas.openxmlformats.org/officeDocument/2006/customXml" ds:itemID="{7B7B648D-B08C-40DB-9971-0B02C9DBCB14}"/>
</file>

<file path=customXml/itemProps3.xml><?xml version="1.0" encoding="utf-8"?>
<ds:datastoreItem xmlns:ds="http://schemas.openxmlformats.org/officeDocument/2006/customXml" ds:itemID="{A38EBE8B-BB60-4DC5-B4EB-2D3338862D3D}"/>
</file>

<file path=customXml/itemProps4.xml><?xml version="1.0" encoding="utf-8"?>
<ds:datastoreItem xmlns:ds="http://schemas.openxmlformats.org/officeDocument/2006/customXml" ds:itemID="{202456D2-F5B2-46A9-9578-ED7B6F9CB9D7}"/>
</file>

<file path=customXml/itemProps5.xml><?xml version="1.0" encoding="utf-8"?>
<ds:datastoreItem xmlns:ds="http://schemas.openxmlformats.org/officeDocument/2006/customXml" ds:itemID="{2116A8E2-9E4B-40D2-A0C4-E11979294C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Charlotte Yeo</cp:lastModifiedBy>
  <cp:revision/>
  <dcterms:created xsi:type="dcterms:W3CDTF">2006-09-16T00:00:00Z</dcterms:created>
  <dcterms:modified xsi:type="dcterms:W3CDTF">2022-04-26T12:36:48Z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0x0101005EA864BF41DF8A41860E925F5B29BCF500F553BF34473073438DF49462F72B571E</vt:lpwstr>
  </property>
  <property fmtid="{D5CDD505-2E9C-101B-9397-08002B2CF9AE}" pid="3" name="TaxKeyword">
    <vt:lpwstr/>
  </property>
  <property fmtid="{D5CDD505-2E9C-101B-9397-08002B2CF9AE}" pid="4" name="QMULDocumentStatus">
    <vt:lpwstr/>
  </property>
  <property fmtid="{D5CDD505-2E9C-101B-9397-08002B2CF9AE}" pid="5" name="QMULInformationClassification">
    <vt:lpwstr>1;#Protect|9124d8d9-0c1c-41e9-aa14-aba001e9a028</vt:lpwstr>
  </property>
  <property fmtid="{D5CDD505-2E9C-101B-9397-08002B2CF9AE}" pid="6" name="QMULLocation">
    <vt:lpwstr/>
  </property>
  <property fmtid="{D5CDD505-2E9C-101B-9397-08002B2CF9AE}" pid="7" name="QMULDepartment">
    <vt:lpwstr/>
  </property>
  <property fmtid="{D5CDD505-2E9C-101B-9397-08002B2CF9AE}" pid="8" name="QMULDocumentType">
    <vt:lpwstr/>
  </property>
  <property fmtid="{D5CDD505-2E9C-101B-9397-08002B2CF9AE}" pid="9" name="QMULSchool">
    <vt:lpwstr/>
  </property>
</Properties>
</file>