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slicerCaches/slicerCache5.xml" ContentType="application/vnd.ms-excel.slicerCache+xml"/>
  <Override PartName="/xl/slicerCaches/slicerCache6.xml" ContentType="application/vnd.ms-excel.slicerCache+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2.xml" ContentType="application/vnd.openxmlformats-officedocument.drawing+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ml.chartshapes+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drawings/drawing4.xml" ContentType="application/vnd.openxmlformats-officedocument.drawingml.chartshapes+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theme/themeOverride1.xml" ContentType="application/vnd.openxmlformats-officedocument.themeOverride+xml"/>
  <Override PartName="/xl/drawings/drawing5.xml" ContentType="application/vnd.openxmlformats-officedocument.drawing+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drawings/drawing6.xml" ContentType="application/vnd.openxmlformats-officedocument.drawingml.chartshapes+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7.xml" ContentType="application/vnd.openxmlformats-officedocument.drawingml.chartshapes+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theme/themeOverride2.xml" ContentType="application/vnd.openxmlformats-officedocument.themeOverride+xml"/>
  <Override PartName="/xl/drawings/drawing8.xml" ContentType="application/vnd.openxmlformats-officedocument.drawing+xml"/>
  <Override PartName="/xl/drawings/drawing9.xml" ContentType="application/vnd.openxmlformats-officedocument.drawing+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theme/themeOverride3.xml" ContentType="application/vnd.openxmlformats-officedocument.themeOverride+xml"/>
  <Override PartName="/xl/tables/table1.xml" ContentType="application/vnd.openxmlformats-officedocument.spreadsheetml.table+xml"/>
  <Override PartName="/xl/queryTables/queryTable1.xml" ContentType="application/vnd.openxmlformats-officedocument.spreadsheetml.queryTable+xml"/>
  <Override PartName="/xl/drawings/drawing10.xml" ContentType="application/vnd.openxmlformats-officedocument.drawing+xml"/>
  <Override PartName="/xl/slicers/slicer1.xml" ContentType="application/vnd.ms-excel.slicer+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charts/chart14.xml" ContentType="application/vnd.openxmlformats-officedocument.drawingml.chart+xml"/>
  <Override PartName="/xl/charts/style14.xml" ContentType="application/vnd.ms-office.chartstyle+xml"/>
  <Override PartName="/xl/charts/colors14.xml" ContentType="application/vnd.ms-office.chartcolorstyle+xml"/>
  <Override PartName="/xl/drawings/drawing11.xml" ContentType="application/vnd.openxmlformats-officedocument.drawing+xml"/>
  <Override PartName="/xl/slicers/slicer2.xml" ContentType="application/vnd.ms-excel.slicer+xml"/>
  <Override PartName="/xl/charts/chart15.xml" ContentType="application/vnd.openxmlformats-officedocument.drawingml.chart+xml"/>
  <Override PartName="/xl/charts/style15.xml" ContentType="application/vnd.ms-office.chartstyle+xml"/>
  <Override PartName="/xl/charts/colors15.xml" ContentType="application/vnd.ms-office.chartcolorstyle+xml"/>
  <Override PartName="/xl/theme/themeOverride4.xml" ContentType="application/vnd.openxmlformats-officedocument.themeOverride+xml"/>
  <Override PartName="/xl/charts/chart16.xml" ContentType="application/vnd.openxmlformats-officedocument.drawingml.chart+xml"/>
  <Override PartName="/xl/charts/style16.xml" ContentType="application/vnd.ms-office.chartstyle+xml"/>
  <Override PartName="/xl/charts/colors16.xml" ContentType="application/vnd.ms-office.chartcolorstyle+xml"/>
  <Override PartName="/xl/theme/themeOverride5.xml" ContentType="application/vnd.openxmlformats-officedocument.themeOverride+xml"/>
  <Override PartName="/xl/charts/chart17.xml" ContentType="application/vnd.openxmlformats-officedocument.drawingml.chart+xml"/>
  <Override PartName="/xl/charts/style17.xml" ContentType="application/vnd.ms-office.chartstyle+xml"/>
  <Override PartName="/xl/charts/colors17.xml" ContentType="application/vnd.ms-office.chartcolorstyle+xml"/>
  <Override PartName="/xl/theme/themeOverride6.xml" ContentType="application/vnd.openxmlformats-officedocument.themeOverride+xml"/>
  <Override PartName="/xl/drawings/drawing12.xml" ContentType="application/vnd.openxmlformats-officedocument.drawing+xml"/>
  <Override PartName="/xl/slicers/slicer3.xml" ContentType="application/vnd.ms-excel.slicer+xml"/>
  <Override PartName="/xl/charts/chart18.xml" ContentType="application/vnd.openxmlformats-officedocument.drawingml.chart+xml"/>
  <Override PartName="/xl/charts/style18.xml" ContentType="application/vnd.ms-office.chartstyle+xml"/>
  <Override PartName="/xl/charts/colors18.xml" ContentType="application/vnd.ms-office.chartcolorstyle+xml"/>
  <Override PartName="/xl/theme/themeOverride7.xml" ContentType="application/vnd.openxmlformats-officedocument.themeOverride+xml"/>
  <Override PartName="/xl/charts/chart19.xml" ContentType="application/vnd.openxmlformats-officedocument.drawingml.chart+xml"/>
  <Override PartName="/xl/charts/style19.xml" ContentType="application/vnd.ms-office.chartstyle+xml"/>
  <Override PartName="/xl/charts/colors19.xml" ContentType="application/vnd.ms-office.chartcolorstyle+xml"/>
  <Override PartName="/xl/theme/themeOverride8.xml" ContentType="application/vnd.openxmlformats-officedocument.themeOverride+xml"/>
  <Override PartName="/xl/charts/chart20.xml" ContentType="application/vnd.openxmlformats-officedocument.drawingml.chart+xml"/>
  <Override PartName="/xl/charts/style20.xml" ContentType="application/vnd.ms-office.chartstyle+xml"/>
  <Override PartName="/xl/charts/colors20.xml" ContentType="application/vnd.ms-office.chartcolorstyle+xml"/>
  <Override PartName="/xl/theme/themeOverride9.xml" ContentType="application/vnd.openxmlformats-officedocument.themeOverride+xml"/>
  <Override PartName="/xl/drawings/drawing13.xml" ContentType="application/vnd.openxmlformats-officedocument.drawing+xml"/>
  <Override PartName="/xl/slicers/slicer4.xml" ContentType="application/vnd.ms-excel.slicer+xml"/>
  <Override PartName="/xl/charts/chart21.xml" ContentType="application/vnd.openxmlformats-officedocument.drawingml.chart+xml"/>
  <Override PartName="/xl/charts/style21.xml" ContentType="application/vnd.ms-office.chartstyle+xml"/>
  <Override PartName="/xl/charts/colors21.xml" ContentType="application/vnd.ms-office.chartcolorstyle+xml"/>
  <Override PartName="/xl/theme/themeOverride10.xml" ContentType="application/vnd.openxmlformats-officedocument.themeOverride+xml"/>
  <Override PartName="/xl/charts/chart22.xml" ContentType="application/vnd.openxmlformats-officedocument.drawingml.chart+xml"/>
  <Override PartName="/xl/charts/style22.xml" ContentType="application/vnd.ms-office.chartstyle+xml"/>
  <Override PartName="/xl/charts/colors22.xml" ContentType="application/vnd.ms-office.chartcolorstyle+xml"/>
  <Override PartName="/xl/theme/themeOverride11.xml" ContentType="application/vnd.openxmlformats-officedocument.themeOverride+xml"/>
  <Override PartName="/xl/drawings/drawing14.xml" ContentType="application/vnd.openxmlformats-officedocument.drawing+xml"/>
  <Override PartName="/xl/slicers/slicer5.xml" ContentType="application/vnd.ms-excel.slicer+xml"/>
  <Override PartName="/xl/charts/chart23.xml" ContentType="application/vnd.openxmlformats-officedocument.drawingml.chart+xml"/>
  <Override PartName="/xl/charts/style23.xml" ContentType="application/vnd.ms-office.chartstyle+xml"/>
  <Override PartName="/xl/charts/colors23.xml" ContentType="application/vnd.ms-office.chartcolorstyle+xml"/>
  <Override PartName="/xl/theme/themeOverride12.xml" ContentType="application/vnd.openxmlformats-officedocument.themeOverride+xml"/>
  <Override PartName="/xl/drawings/drawing15.xml" ContentType="application/vnd.openxmlformats-officedocument.drawing+xml"/>
  <Override PartName="/xl/slicers/slicer6.xml" ContentType="application/vnd.ms-excel.slicer+xml"/>
  <Override PartName="/xl/charts/chart24.xml" ContentType="application/vnd.openxmlformats-officedocument.drawingml.chart+xml"/>
  <Override PartName="/xl/charts/style24.xml" ContentType="application/vnd.ms-office.chartstyle+xml"/>
  <Override PartName="/xl/charts/colors24.xml" ContentType="application/vnd.ms-office.chartcolorstyle+xml"/>
  <Override PartName="/xl/theme/themeOverride13.xml" ContentType="application/vnd.openxmlformats-officedocument.themeOverride+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xl/drawings/drawing16.xml" ContentType="application/vnd.openxmlformats-officedocument.drawing+xml"/>
  <Override PartName="/xl/charts/chart25.xml" ContentType="application/vnd.openxmlformats-officedocument.drawingml.chart+xml"/>
  <Override PartName="/xl/charts/style25.xml" ContentType="application/vnd.ms-office.chartstyle+xml"/>
  <Override PartName="/xl/charts/colors25.xml" ContentType="application/vnd.ms-office.chartcolorstyle+xml"/>
  <Override PartName="/xl/theme/themeOverride14.xml" ContentType="application/vnd.openxmlformats-officedocument.themeOverride+xml"/>
  <Override PartName="/xl/pivotTables/pivotTable4.xml" ContentType="application/vnd.openxmlformats-officedocument.spreadsheetml.pivotTable+xml"/>
  <Override PartName="/xl/pivotTables/pivotTable5.xml" ContentType="application/vnd.openxmlformats-officedocument.spreadsheetml.pivotTable+xml"/>
  <Override PartName="/xl/pivotTables/pivotTable6.xml" ContentType="application/vnd.openxmlformats-officedocument.spreadsheetml.pivotTable+xml"/>
  <Override PartName="/xl/pivotTables/pivotTable7.xml" ContentType="application/vnd.openxmlformats-officedocument.spreadsheetml.pivotTable+xml"/>
  <Override PartName="/xl/pivotTables/pivotTable8.xml" ContentType="application/vnd.openxmlformats-officedocument.spreadsheetml.pivotTable+xml"/>
  <Override PartName="/xl/pivotTables/pivotTable9.xml" ContentType="application/vnd.openxmlformats-officedocument.spreadsheetml.pivotTable+xml"/>
  <Override PartName="/xl/pivotTables/pivotTable10.xml" ContentType="application/vnd.openxmlformats-officedocument.spreadsheetml.pivotTable+xml"/>
  <Override PartName="/xl/pivotTables/pivotTable11.xml" ContentType="application/vnd.openxmlformats-officedocument.spreadsheetml.pivotTable+xml"/>
  <Override PartName="/xl/pivotTables/pivotTable12.xml" ContentType="application/vnd.openxmlformats-officedocument.spreadsheetml.pivotTable+xml"/>
  <Override PartName="/xl/pivotTables/pivotTable13.xml" ContentType="application/vnd.openxmlformats-officedocument.spreadsheetml.pivot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xl/activeX/activeX1.xml" ContentType="application/vnd.ms-office.activeX+xml"/>
  <Override PartName="/xl/activeX/activeX2.xml" ContentType="application/vnd.ms-office.activeX+xml"/>
  <Override PartName="/xl/activeX/activeX3.xml" ContentType="application/vnd.ms-office.activeX+xml"/>
  <Override PartName="/xl/activeX/activeX4.xml" ContentType="application/vnd.ms-office.activeX+xml"/>
  <Override PartName="/xl/activeX/activeX5.xml" ContentType="application/vnd.ms-office.activeX+xml"/>
  <Override PartName="/xl/activeX/activeX6.xml" ContentType="application/vnd.ms-office.activeX+xml"/>
  <Override PartName="/xl/activeX/activeX7.xml" ContentType="application/vnd.ms-office.activeX+xml"/>
  <Override PartName="/xl/activeX/activeX8.xml" ContentType="application/vnd.ms-office.activeX+xml"/>
  <Override PartName="/xl/activeX/activeX1.bin" ContentType="application/vnd.ms-office.activeX"/>
  <Override PartName="/xl/activeX/activeX2.bin" ContentType="application/vnd.ms-office.activeX"/>
  <Override PartName="/xl/activeX/activeX3.bin" ContentType="application/vnd.ms-office.activeX"/>
  <Override PartName="/xl/activeX/activeX4.bin" ContentType="application/vnd.ms-office.activeX"/>
  <Override PartName="/xl/activeX/activeX5.bin" ContentType="application/vnd.ms-office.activeX"/>
  <Override PartName="/xl/activeX/activeX6.bin" ContentType="application/vnd.ms-office.activeX"/>
  <Override PartName="/xl/activeX/activeX7.bin" ContentType="application/vnd.ms-office.activeX"/>
  <Override PartName="/xl/activeX/activeX8.bin" ContentType="application/vnd.ms-office.activeX"/>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17"/>
  <workbookPr codeName="ThisWorkbook"/>
  <mc:AlternateContent xmlns:mc="http://schemas.openxmlformats.org/markup-compatibility/2006">
    <mc:Choice Requires="x15">
      <x15ac:absPath xmlns:x15ac="http://schemas.microsoft.com/office/spreadsheetml/2010/11/ac" url="https://qmulprod.sharepoint.com/sites/CEGDashboards/Shared Documents/Dashboard Checking/WF/"/>
    </mc:Choice>
  </mc:AlternateContent>
  <xr:revisionPtr revIDLastSave="910" documentId="8_{2F724290-569D-47B3-93FE-2EDF9104C983}" xr6:coauthVersionLast="47" xr6:coauthVersionMax="47" xr10:uidLastSave="{07FCA016-5712-44CB-BB53-7B0F3498ECA3}"/>
  <bookViews>
    <workbookView xWindow="-120" yWindow="-120" windowWidth="29040" windowHeight="15840" tabRatio="861" firstSheet="13" activeTab="9" xr2:uid="{00000000-000D-0000-FFFF-FFFF00000000}"/>
  </bookViews>
  <sheets>
    <sheet name="Sheet1" sheetId="1" state="hidden" r:id="rId1"/>
    <sheet name="Sheet5" sheetId="10" state="hidden" r:id="rId2"/>
    <sheet name="Summary" sheetId="9" r:id="rId3"/>
    <sheet name="static figure for off target CR" sheetId="11" state="hidden" r:id="rId4"/>
    <sheet name="Details" sheetId="3" state="hidden" r:id="rId5"/>
    <sheet name="Control" sheetId="5" state="hidden" r:id="rId6"/>
    <sheet name="Practice" sheetId="4" state="hidden" r:id="rId7"/>
    <sheet name="Data" sheetId="13" state="hidden" r:id="rId8"/>
    <sheet name="A. Diabetes" sheetId="14" r:id="rId9"/>
    <sheet name="B. COPD" sheetId="16" r:id="rId10"/>
    <sheet name="C. Asthma" sheetId="18" r:id="rId11"/>
    <sheet name="D. Hypertension" sheetId="19" r:id="rId12"/>
    <sheet name="E. CHD StrokeTIA PAD" sheetId="20" r:id="rId13"/>
    <sheet name="F. Anticoag" sheetId="21" r:id="rId14"/>
    <sheet name="A. Chart Data" sheetId="15" state="hidden" r:id="rId15"/>
    <sheet name="B. Chart data" sheetId="17" state="hidden" r:id="rId16"/>
    <sheet name="C. Chart Data" sheetId="22" state="hidden" r:id="rId17"/>
    <sheet name="D. Chart Data" sheetId="23" state="hidden" r:id="rId18"/>
    <sheet name="E. Chart Data" sheetId="24" state="hidden" r:id="rId19"/>
    <sheet name="F. Chart data" sheetId="25" state="hidden" r:id="rId20"/>
  </sheets>
  <definedNames>
    <definedName name="ExternalData_1" localSheetId="7" hidden="1">Data!$A$1:$AD$498</definedName>
    <definedName name="Slicer_Practice">#N/A</definedName>
    <definedName name="Slicer_Practice1">#N/A</definedName>
    <definedName name="Slicer_Practice2">#N/A</definedName>
    <definedName name="Slicer_Practice3">#N/A</definedName>
    <definedName name="Slicer_Practice4">#N/A</definedName>
    <definedName name="Slicer_Practice5">#N/A</definedName>
  </definedNames>
  <calcPr calcId="191028"/>
  <pivotCaches>
    <pivotCache cacheId="2024" r:id="rId21"/>
  </pivotCaches>
  <extLst>
    <ext xmlns:x14="http://schemas.microsoft.com/office/spreadsheetml/2009/9/main" uri="{BBE1A952-AA13-448e-AADC-164F8A28A991}">
      <x14:slicerCaches>
        <x14:slicerCache r:id="rId22"/>
        <x14:slicerCache r:id="rId23"/>
        <x14:slicerCache r:id="rId24"/>
        <x14:slicerCache r:id="rId25"/>
        <x14:slicerCache r:id="rId26"/>
        <x14:slicerCache r:id="rId27"/>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F25" i="16" l="1"/>
  <c r="F2" i="5"/>
  <c r="B10" i="14" l="1"/>
  <c r="L57" i="14" s="1"/>
  <c r="B10" i="21"/>
  <c r="B10" i="20"/>
  <c r="B10" i="18"/>
  <c r="B10" i="19"/>
  <c r="B10" i="16"/>
  <c r="H45" i="14"/>
  <c r="K16" i="14"/>
  <c r="L47" i="14"/>
  <c r="H33" i="14"/>
  <c r="H22" i="14"/>
  <c r="H29" i="14"/>
  <c r="K56" i="14"/>
  <c r="H26" i="14"/>
  <c r="L37" i="14"/>
  <c r="H54" i="14"/>
  <c r="L26" i="14"/>
  <c r="H43" i="14"/>
  <c r="L54" i="14"/>
  <c r="L14" i="14"/>
  <c r="K42" i="14"/>
  <c r="H13" i="14"/>
  <c r="K49" i="14"/>
  <c r="H15" i="14"/>
  <c r="L30" i="14"/>
  <c r="H47" i="14"/>
  <c r="K47" i="14"/>
  <c r="H17" i="14"/>
  <c r="L28" i="14"/>
  <c r="H44" i="14"/>
  <c r="L17" i="14"/>
  <c r="H34" i="14"/>
  <c r="L44" i="14"/>
  <c r="H40" i="14"/>
  <c r="K33" i="14"/>
  <c r="L33" i="14"/>
  <c r="K40" i="14"/>
  <c r="H35" i="14"/>
  <c r="L20" i="14"/>
  <c r="H37" i="14"/>
  <c r="L45" i="14"/>
  <c r="L19" i="14"/>
  <c r="H53" i="14"/>
  <c r="L18" i="14"/>
  <c r="H24" i="14"/>
  <c r="K22" i="14"/>
  <c r="H28" i="14"/>
  <c r="L42" i="14"/>
  <c r="K17" i="14"/>
  <c r="K37" i="14"/>
  <c r="K54" i="14"/>
  <c r="L53" i="14"/>
  <c r="L51" i="14"/>
  <c r="H20" i="14"/>
  <c r="K44" i="14"/>
  <c r="L25" i="14"/>
  <c r="K14" i="14"/>
  <c r="H23" i="14"/>
  <c r="H16" i="14"/>
  <c r="K18" i="14"/>
  <c r="K41" i="14"/>
  <c r="K45" i="14"/>
  <c r="K32" i="14"/>
  <c r="K35" i="14"/>
  <c r="K43" i="14"/>
  <c r="L16" i="14"/>
  <c r="L34" i="14"/>
  <c r="H50" i="14"/>
  <c r="L41" i="14"/>
  <c r="H57" i="14"/>
  <c r="K50" i="14"/>
  <c r="K38" i="14"/>
  <c r="H25" i="14"/>
  <c r="L29" i="14"/>
  <c r="K34" i="14"/>
  <c r="L36" i="14"/>
  <c r="K24" i="14"/>
  <c r="H18" i="14"/>
  <c r="L35" i="14"/>
  <c r="K23" i="14"/>
  <c r="K30" i="14"/>
  <c r="K15" i="14"/>
  <c r="K57" i="14"/>
  <c r="K28" i="14"/>
  <c r="K55" i="14"/>
  <c r="H19" i="14"/>
  <c r="L43" i="14"/>
  <c r="L50" i="14"/>
  <c r="K20" i="14"/>
  <c r="K48" i="14"/>
  <c r="L48" i="14"/>
  <c r="L38" i="14"/>
  <c r="H55" i="14"/>
  <c r="H30" i="14"/>
  <c r="K36" i="14"/>
  <c r="L55" i="14"/>
  <c r="K25" i="14"/>
  <c r="H51" i="14"/>
  <c r="K53" i="14"/>
  <c r="L24" i="14"/>
  <c r="H41" i="14"/>
  <c r="L32" i="14"/>
  <c r="H48" i="14"/>
  <c r="H49" i="14"/>
  <c r="K29" i="14"/>
  <c r="H42" i="14"/>
  <c r="L56" i="14"/>
  <c r="L15" i="14"/>
  <c r="H32" i="14"/>
  <c r="L22" i="14"/>
  <c r="H38" i="14"/>
  <c r="L49" i="14"/>
  <c r="K19" i="14"/>
  <c r="L23" i="14"/>
  <c r="K26" i="14"/>
  <c r="H36" i="14"/>
  <c r="K13" i="14"/>
  <c r="K51" i="14"/>
  <c r="L13" i="14"/>
  <c r="L40" i="14"/>
  <c r="H56" i="14"/>
  <c r="H14" i="14"/>
  <c r="Z11" i="9"/>
  <c r="V11" i="9"/>
  <c r="S11" i="9"/>
  <c r="O11" i="9"/>
  <c r="K11" i="9"/>
  <c r="M30" i="16" l="1"/>
  <c r="M20" i="16"/>
  <c r="F38" i="16"/>
  <c r="F22" i="16"/>
  <c r="F15" i="16"/>
  <c r="G38" i="16"/>
  <c r="G22" i="16"/>
  <c r="H22" i="16" s="1"/>
  <c r="G15" i="16"/>
  <c r="J38" i="16"/>
  <c r="K38" i="16" s="1"/>
  <c r="J22" i="16"/>
  <c r="J15" i="16"/>
  <c r="K15" i="16" s="1"/>
  <c r="M38" i="16"/>
  <c r="N38" i="16" s="1"/>
  <c r="M22" i="16"/>
  <c r="M15" i="16"/>
  <c r="N15" i="16" s="1"/>
  <c r="F30" i="16"/>
  <c r="F20" i="16"/>
  <c r="G30" i="16"/>
  <c r="G20" i="16"/>
  <c r="H20" i="16" s="1"/>
  <c r="J30" i="16"/>
  <c r="J20" i="16"/>
  <c r="K20" i="16" s="1"/>
  <c r="F38" i="19"/>
  <c r="F22" i="19"/>
  <c r="F15" i="19"/>
  <c r="F57" i="19"/>
  <c r="F55" i="19"/>
  <c r="F53" i="19"/>
  <c r="F50" i="19"/>
  <c r="F48" i="19"/>
  <c r="F45" i="19"/>
  <c r="F43" i="19"/>
  <c r="F41" i="19"/>
  <c r="F37" i="19"/>
  <c r="F35" i="19"/>
  <c r="F33" i="19"/>
  <c r="F29" i="19"/>
  <c r="F26" i="19"/>
  <c r="F24" i="19"/>
  <c r="F19" i="19"/>
  <c r="F17" i="19"/>
  <c r="F14" i="19"/>
  <c r="G38" i="19"/>
  <c r="H38" i="19" s="1"/>
  <c r="G22" i="19"/>
  <c r="G15" i="19"/>
  <c r="K56" i="19"/>
  <c r="K54" i="19"/>
  <c r="K51" i="19"/>
  <c r="K49" i="19"/>
  <c r="K47" i="19"/>
  <c r="K44" i="19"/>
  <c r="K42" i="19"/>
  <c r="K40" i="19"/>
  <c r="K36" i="19"/>
  <c r="K34" i="19"/>
  <c r="K32" i="19"/>
  <c r="K28" i="19"/>
  <c r="K25" i="19"/>
  <c r="K23" i="19"/>
  <c r="K18" i="19"/>
  <c r="K16" i="19"/>
  <c r="K13" i="19"/>
  <c r="J38" i="19"/>
  <c r="J22" i="19"/>
  <c r="J15" i="19"/>
  <c r="J56" i="19"/>
  <c r="J54" i="19"/>
  <c r="J51" i="19"/>
  <c r="J49" i="19"/>
  <c r="J47" i="19"/>
  <c r="J44" i="19"/>
  <c r="J42" i="19"/>
  <c r="J40" i="19"/>
  <c r="J36" i="19"/>
  <c r="J34" i="19"/>
  <c r="J32" i="19"/>
  <c r="J28" i="19"/>
  <c r="J25" i="19"/>
  <c r="J23" i="19"/>
  <c r="J18" i="19"/>
  <c r="J16" i="19"/>
  <c r="J13" i="19"/>
  <c r="K38" i="19"/>
  <c r="L38" i="19" s="1"/>
  <c r="K22" i="19"/>
  <c r="K15" i="19"/>
  <c r="G56" i="19"/>
  <c r="G54" i="19"/>
  <c r="G51" i="19"/>
  <c r="G49" i="19"/>
  <c r="G47" i="19"/>
  <c r="G44" i="19"/>
  <c r="F30" i="19"/>
  <c r="F20" i="19"/>
  <c r="F56" i="19"/>
  <c r="F54" i="19"/>
  <c r="F51" i="19"/>
  <c r="F49" i="19"/>
  <c r="F47" i="19"/>
  <c r="F44" i="19"/>
  <c r="F42" i="19"/>
  <c r="F40" i="19"/>
  <c r="F36" i="19"/>
  <c r="F34" i="19"/>
  <c r="F32" i="19"/>
  <c r="F28" i="19"/>
  <c r="F31" i="19" s="1"/>
  <c r="F25" i="19"/>
  <c r="F23" i="19"/>
  <c r="F18" i="19"/>
  <c r="F16" i="19"/>
  <c r="F13" i="19"/>
  <c r="G30" i="19"/>
  <c r="G20" i="19"/>
  <c r="K57" i="19"/>
  <c r="L57" i="19" s="1"/>
  <c r="K55" i="19"/>
  <c r="K53" i="19"/>
  <c r="K50" i="19"/>
  <c r="K48" i="19"/>
  <c r="K45" i="19"/>
  <c r="K43" i="19"/>
  <c r="K41" i="19"/>
  <c r="K37" i="19"/>
  <c r="L37" i="19" s="1"/>
  <c r="K35" i="19"/>
  <c r="K33" i="19"/>
  <c r="K29" i="19"/>
  <c r="K26" i="19"/>
  <c r="K24" i="19"/>
  <c r="K19" i="19"/>
  <c r="K17" i="19"/>
  <c r="K14" i="19"/>
  <c r="L14" i="19" s="1"/>
  <c r="J30" i="19"/>
  <c r="J20" i="19"/>
  <c r="J57" i="19"/>
  <c r="J55" i="19"/>
  <c r="J53" i="19"/>
  <c r="J50" i="19"/>
  <c r="J48" i="19"/>
  <c r="J45" i="19"/>
  <c r="J43" i="19"/>
  <c r="J41" i="19"/>
  <c r="J37" i="19"/>
  <c r="J35" i="19"/>
  <c r="J33" i="19"/>
  <c r="J29" i="19"/>
  <c r="J26" i="19"/>
  <c r="J24" i="19"/>
  <c r="J19" i="19"/>
  <c r="J17" i="19"/>
  <c r="J14" i="19"/>
  <c r="G43" i="19"/>
  <c r="H43" i="19" s="1"/>
  <c r="G33" i="19"/>
  <c r="H33" i="19" s="1"/>
  <c r="G19" i="19"/>
  <c r="H19" i="19" s="1"/>
  <c r="G35" i="19"/>
  <c r="H35" i="19" s="1"/>
  <c r="G42" i="19"/>
  <c r="H42" i="19" s="1"/>
  <c r="G32" i="19"/>
  <c r="G18" i="19"/>
  <c r="H18" i="19" s="1"/>
  <c r="G57" i="19"/>
  <c r="H57" i="19" s="1"/>
  <c r="G41" i="19"/>
  <c r="G29" i="19"/>
  <c r="H29" i="19" s="1"/>
  <c r="G17" i="19"/>
  <c r="G48" i="19"/>
  <c r="H48" i="19" s="1"/>
  <c r="G55" i="19"/>
  <c r="H55" i="19" s="1"/>
  <c r="G40" i="19"/>
  <c r="G28" i="19"/>
  <c r="G16" i="19"/>
  <c r="H16" i="19" s="1"/>
  <c r="G53" i="19"/>
  <c r="G37" i="19"/>
  <c r="H37" i="19" s="1"/>
  <c r="G26" i="19"/>
  <c r="H26" i="19" s="1"/>
  <c r="G14" i="19"/>
  <c r="H14" i="19" s="1"/>
  <c r="K20" i="19"/>
  <c r="L20" i="19" s="1"/>
  <c r="K30" i="19"/>
  <c r="L30" i="19" s="1"/>
  <c r="G50" i="19"/>
  <c r="H50" i="19" s="1"/>
  <c r="G36" i="19"/>
  <c r="H36" i="19" s="1"/>
  <c r="G25" i="19"/>
  <c r="H25" i="19" s="1"/>
  <c r="G13" i="19"/>
  <c r="G24" i="19"/>
  <c r="H24" i="19" s="1"/>
  <c r="G45" i="19"/>
  <c r="H45" i="19" s="1"/>
  <c r="G34" i="19"/>
  <c r="H34" i="19" s="1"/>
  <c r="G23" i="19"/>
  <c r="H23" i="19" s="1"/>
  <c r="F20" i="18"/>
  <c r="F38" i="18"/>
  <c r="N22" i="18"/>
  <c r="F30" i="18"/>
  <c r="H20" i="18"/>
  <c r="H30" i="18"/>
  <c r="K20" i="18"/>
  <c r="L20" i="18" s="1"/>
  <c r="K30" i="18"/>
  <c r="N20" i="18"/>
  <c r="O20" i="18" s="1"/>
  <c r="N30" i="18"/>
  <c r="O30" i="18" s="1"/>
  <c r="H15" i="18"/>
  <c r="H38" i="18"/>
  <c r="I38" i="18" s="1"/>
  <c r="F22" i="18"/>
  <c r="K15" i="18"/>
  <c r="K38" i="18"/>
  <c r="L38" i="18" s="1"/>
  <c r="H22" i="18"/>
  <c r="N15" i="18"/>
  <c r="K57" i="18"/>
  <c r="K55" i="18"/>
  <c r="K53" i="18"/>
  <c r="K50" i="18"/>
  <c r="K48" i="18"/>
  <c r="K45" i="18"/>
  <c r="K43" i="18"/>
  <c r="K41" i="18"/>
  <c r="K37" i="18"/>
  <c r="K35" i="18"/>
  <c r="K33" i="18"/>
  <c r="K29" i="18"/>
  <c r="K26" i="18"/>
  <c r="K24" i="18"/>
  <c r="K19" i="18"/>
  <c r="K17" i="18"/>
  <c r="K14" i="18"/>
  <c r="F51" i="18"/>
  <c r="F36" i="18"/>
  <c r="F16" i="18"/>
  <c r="H57" i="18"/>
  <c r="H55" i="18"/>
  <c r="H53" i="18"/>
  <c r="H50" i="18"/>
  <c r="H48" i="18"/>
  <c r="H45" i="18"/>
  <c r="H43" i="18"/>
  <c r="H41" i="18"/>
  <c r="H37" i="18"/>
  <c r="H35" i="18"/>
  <c r="H33" i="18"/>
  <c r="H29" i="18"/>
  <c r="H26" i="18"/>
  <c r="H24" i="18"/>
  <c r="H19" i="18"/>
  <c r="H17" i="18"/>
  <c r="H14" i="18"/>
  <c r="F49" i="18"/>
  <c r="F32" i="18"/>
  <c r="N38" i="18"/>
  <c r="O38" i="18" s="1"/>
  <c r="F57" i="18"/>
  <c r="F55" i="18"/>
  <c r="F53" i="18"/>
  <c r="F50" i="18"/>
  <c r="F48" i="18"/>
  <c r="F45" i="18"/>
  <c r="F43" i="18"/>
  <c r="F41" i="18"/>
  <c r="F37" i="18"/>
  <c r="F35" i="18"/>
  <c r="F33" i="18"/>
  <c r="F29" i="18"/>
  <c r="F26" i="18"/>
  <c r="F24" i="18"/>
  <c r="F19" i="18"/>
  <c r="F17" i="18"/>
  <c r="F14" i="18"/>
  <c r="F56" i="18"/>
  <c r="F40" i="18"/>
  <c r="F25" i="18"/>
  <c r="K22" i="18"/>
  <c r="N56" i="18"/>
  <c r="N54" i="18"/>
  <c r="N51" i="18"/>
  <c r="N49" i="18"/>
  <c r="N47" i="18"/>
  <c r="N44" i="18"/>
  <c r="N42" i="18"/>
  <c r="N40" i="18"/>
  <c r="N36" i="18"/>
  <c r="N34" i="18"/>
  <c r="N32" i="18"/>
  <c r="N28" i="18"/>
  <c r="N25" i="18"/>
  <c r="N23" i="18"/>
  <c r="N18" i="18"/>
  <c r="N16" i="18"/>
  <c r="N13" i="18"/>
  <c r="F54" i="18"/>
  <c r="F34" i="18"/>
  <c r="F13" i="18"/>
  <c r="F15" i="18"/>
  <c r="K56" i="18"/>
  <c r="K54" i="18"/>
  <c r="K51" i="18"/>
  <c r="K49" i="18"/>
  <c r="L49" i="18" s="1"/>
  <c r="K47" i="18"/>
  <c r="K44" i="18"/>
  <c r="K42" i="18"/>
  <c r="K40" i="18"/>
  <c r="K36" i="18"/>
  <c r="K34" i="18"/>
  <c r="K32" i="18"/>
  <c r="K28" i="18"/>
  <c r="K25" i="18"/>
  <c r="K23" i="18"/>
  <c r="K18" i="18"/>
  <c r="K16" i="18"/>
  <c r="K13" i="18"/>
  <c r="F42" i="18"/>
  <c r="F18" i="18"/>
  <c r="H56" i="18"/>
  <c r="I56" i="18" s="1"/>
  <c r="H54" i="18"/>
  <c r="I54" i="18" s="1"/>
  <c r="H51" i="18"/>
  <c r="H49" i="18"/>
  <c r="H47" i="18"/>
  <c r="H44" i="18"/>
  <c r="H42" i="18"/>
  <c r="H40" i="18"/>
  <c r="H36" i="18"/>
  <c r="I36" i="18" s="1"/>
  <c r="H34" i="18"/>
  <c r="I34" i="18" s="1"/>
  <c r="H32" i="18"/>
  <c r="H28" i="18"/>
  <c r="H31" i="18" s="1"/>
  <c r="H25" i="18"/>
  <c r="H23" i="18"/>
  <c r="H18" i="18"/>
  <c r="H16" i="18"/>
  <c r="H13" i="18"/>
  <c r="F47" i="18"/>
  <c r="F23" i="18"/>
  <c r="I23" i="18" s="1"/>
  <c r="N57" i="18"/>
  <c r="O57" i="18" s="1"/>
  <c r="N55" i="18"/>
  <c r="N53" i="18"/>
  <c r="N50" i="18"/>
  <c r="O50" i="18" s="1"/>
  <c r="N48" i="18"/>
  <c r="O48" i="18" s="1"/>
  <c r="N45" i="18"/>
  <c r="O45" i="18" s="1"/>
  <c r="N43" i="18"/>
  <c r="O43" i="18" s="1"/>
  <c r="N41" i="18"/>
  <c r="O41" i="18" s="1"/>
  <c r="N37" i="18"/>
  <c r="O37" i="18" s="1"/>
  <c r="N35" i="18"/>
  <c r="N33" i="18"/>
  <c r="O33" i="18" s="1"/>
  <c r="N29" i="18"/>
  <c r="O29" i="18" s="1"/>
  <c r="N26" i="18"/>
  <c r="O26" i="18" s="1"/>
  <c r="N24" i="18"/>
  <c r="O24" i="18" s="1"/>
  <c r="N19" i="18"/>
  <c r="O19" i="18" s="1"/>
  <c r="N17" i="18"/>
  <c r="O17" i="18" s="1"/>
  <c r="N14" i="18"/>
  <c r="F44" i="18"/>
  <c r="F28" i="18"/>
  <c r="G20" i="20"/>
  <c r="F14" i="20"/>
  <c r="F26" i="20"/>
  <c r="F37" i="20"/>
  <c r="F48" i="20"/>
  <c r="F57" i="20"/>
  <c r="G51" i="20"/>
  <c r="G42" i="20"/>
  <c r="G32" i="20"/>
  <c r="G18" i="20"/>
  <c r="F30" i="20"/>
  <c r="F16" i="20"/>
  <c r="F28" i="20"/>
  <c r="F40" i="20"/>
  <c r="F49" i="20"/>
  <c r="G50" i="20"/>
  <c r="G41" i="20"/>
  <c r="G29" i="20"/>
  <c r="G17" i="20"/>
  <c r="H17" i="20" s="1"/>
  <c r="G30" i="20"/>
  <c r="F17" i="20"/>
  <c r="F29" i="20"/>
  <c r="F41" i="20"/>
  <c r="F50" i="20"/>
  <c r="G49" i="20"/>
  <c r="G40" i="20"/>
  <c r="G28" i="20"/>
  <c r="G16" i="20"/>
  <c r="H16" i="20" s="1"/>
  <c r="F38" i="20"/>
  <c r="F18" i="20"/>
  <c r="F32" i="20"/>
  <c r="F42" i="20"/>
  <c r="F51" i="20"/>
  <c r="G57" i="20"/>
  <c r="G48" i="20"/>
  <c r="H48" i="20" s="1"/>
  <c r="G37" i="20"/>
  <c r="H37" i="20" s="1"/>
  <c r="G26" i="20"/>
  <c r="G14" i="20"/>
  <c r="H14" i="20" s="1"/>
  <c r="G38" i="20"/>
  <c r="F19" i="20"/>
  <c r="F33" i="20"/>
  <c r="F43" i="20"/>
  <c r="F53" i="20"/>
  <c r="F58" i="20" s="1"/>
  <c r="G56" i="20"/>
  <c r="G47" i="20"/>
  <c r="G36" i="20"/>
  <c r="G25" i="20"/>
  <c r="G13" i="20"/>
  <c r="F22" i="20"/>
  <c r="F23" i="20"/>
  <c r="F34" i="20"/>
  <c r="F44" i="20"/>
  <c r="F54" i="20"/>
  <c r="G55" i="20"/>
  <c r="G45" i="20"/>
  <c r="G35" i="20"/>
  <c r="G24" i="20"/>
  <c r="F13" i="20"/>
  <c r="G15" i="20"/>
  <c r="H15" i="20" s="1"/>
  <c r="F20" i="20"/>
  <c r="F24" i="20"/>
  <c r="F35" i="20"/>
  <c r="F45" i="20"/>
  <c r="F55" i="20"/>
  <c r="G54" i="20"/>
  <c r="H54" i="20" s="1"/>
  <c r="G44" i="20"/>
  <c r="G34" i="20"/>
  <c r="H34" i="20" s="1"/>
  <c r="G23" i="20"/>
  <c r="H23" i="20" s="1"/>
  <c r="G22" i="20"/>
  <c r="F15" i="20"/>
  <c r="G33" i="20"/>
  <c r="F25" i="20"/>
  <c r="F36" i="20"/>
  <c r="F47" i="20"/>
  <c r="G53" i="20"/>
  <c r="F56" i="20"/>
  <c r="G43" i="20"/>
  <c r="H43" i="20" s="1"/>
  <c r="G19" i="20"/>
  <c r="H19" i="20" s="1"/>
  <c r="H22" i="21"/>
  <c r="F16" i="21"/>
  <c r="F20" i="21"/>
  <c r="F25" i="21"/>
  <c r="F30" i="21"/>
  <c r="F35" i="21"/>
  <c r="F40" i="21"/>
  <c r="F44" i="21"/>
  <c r="F49" i="21"/>
  <c r="F54" i="21"/>
  <c r="I55" i="21"/>
  <c r="I50" i="21"/>
  <c r="I45" i="21"/>
  <c r="J45" i="21" s="1"/>
  <c r="I41" i="21"/>
  <c r="I35" i="21"/>
  <c r="I29" i="21"/>
  <c r="I24" i="21"/>
  <c r="I17" i="21"/>
  <c r="I22" i="21"/>
  <c r="F14" i="21"/>
  <c r="H55" i="21"/>
  <c r="H50" i="21"/>
  <c r="H45" i="21"/>
  <c r="H41" i="21"/>
  <c r="H35" i="21"/>
  <c r="H29" i="21"/>
  <c r="H24" i="21"/>
  <c r="H17" i="21"/>
  <c r="H20" i="21"/>
  <c r="F17" i="21"/>
  <c r="F22" i="21"/>
  <c r="F26" i="21"/>
  <c r="F32" i="21"/>
  <c r="F36" i="21"/>
  <c r="F41" i="21"/>
  <c r="F45" i="21"/>
  <c r="F50" i="21"/>
  <c r="F55" i="21"/>
  <c r="I54" i="21"/>
  <c r="I49" i="21"/>
  <c r="I44" i="21"/>
  <c r="I40" i="21"/>
  <c r="I34" i="21"/>
  <c r="I28" i="21"/>
  <c r="I23" i="21"/>
  <c r="J23" i="21" s="1"/>
  <c r="I16" i="21"/>
  <c r="I20" i="21"/>
  <c r="F13" i="21"/>
  <c r="H54" i="21"/>
  <c r="H49" i="21"/>
  <c r="H44" i="21"/>
  <c r="H40" i="21"/>
  <c r="H34" i="21"/>
  <c r="H28" i="21"/>
  <c r="H23" i="21"/>
  <c r="H16" i="21"/>
  <c r="H38" i="21"/>
  <c r="H15" i="21"/>
  <c r="F18" i="21"/>
  <c r="F23" i="21"/>
  <c r="F28" i="21"/>
  <c r="F31" i="21" s="1"/>
  <c r="F33" i="21"/>
  <c r="F37" i="21"/>
  <c r="F42" i="21"/>
  <c r="F47" i="21"/>
  <c r="F51" i="21"/>
  <c r="F56" i="21"/>
  <c r="I57" i="21"/>
  <c r="I53" i="21"/>
  <c r="I48" i="21"/>
  <c r="I43" i="21"/>
  <c r="I37" i="21"/>
  <c r="I33" i="21"/>
  <c r="I26" i="21"/>
  <c r="I19" i="21"/>
  <c r="I14" i="21"/>
  <c r="I38" i="21"/>
  <c r="J38" i="21" s="1"/>
  <c r="I15" i="21"/>
  <c r="J15" i="21" s="1"/>
  <c r="H57" i="21"/>
  <c r="H53" i="21"/>
  <c r="H48" i="21"/>
  <c r="H43" i="21"/>
  <c r="H37" i="21"/>
  <c r="H33" i="21"/>
  <c r="H26" i="21"/>
  <c r="H19" i="21"/>
  <c r="H14" i="21"/>
  <c r="H30" i="21"/>
  <c r="F15" i="21"/>
  <c r="F19" i="21"/>
  <c r="F24" i="21"/>
  <c r="F29" i="21"/>
  <c r="F34" i="21"/>
  <c r="F38" i="21"/>
  <c r="F43" i="21"/>
  <c r="F48" i="21"/>
  <c r="F53" i="21"/>
  <c r="F57" i="21"/>
  <c r="I56" i="21"/>
  <c r="I51" i="21"/>
  <c r="I47" i="21"/>
  <c r="I42" i="21"/>
  <c r="I36" i="21"/>
  <c r="I32" i="21"/>
  <c r="I25" i="21"/>
  <c r="I18" i="21"/>
  <c r="I13" i="21"/>
  <c r="H56" i="21"/>
  <c r="H13" i="21"/>
  <c r="H25" i="21"/>
  <c r="H51" i="21"/>
  <c r="H47" i="21"/>
  <c r="H42" i="21"/>
  <c r="H36" i="21"/>
  <c r="H32" i="21"/>
  <c r="I30" i="21"/>
  <c r="H18" i="21"/>
  <c r="H31" i="14"/>
  <c r="K21" i="14"/>
  <c r="K58" i="14"/>
  <c r="M57" i="16"/>
  <c r="M55" i="16"/>
  <c r="M53" i="16"/>
  <c r="M50" i="16"/>
  <c r="M48" i="16"/>
  <c r="M45" i="16"/>
  <c r="M43" i="16"/>
  <c r="M41" i="16"/>
  <c r="M36" i="16"/>
  <c r="M34" i="16"/>
  <c r="M32" i="16"/>
  <c r="M29" i="16"/>
  <c r="M26" i="16"/>
  <c r="M24" i="16"/>
  <c r="M19" i="16"/>
  <c r="M17" i="16"/>
  <c r="M13" i="16"/>
  <c r="J57" i="16"/>
  <c r="J55" i="16"/>
  <c r="J53" i="16"/>
  <c r="J50" i="16"/>
  <c r="J48" i="16"/>
  <c r="J45" i="16"/>
  <c r="J43" i="16"/>
  <c r="J41" i="16"/>
  <c r="J36" i="16"/>
  <c r="J34" i="16"/>
  <c r="J32" i="16"/>
  <c r="J29" i="16"/>
  <c r="J26" i="16"/>
  <c r="J24" i="16"/>
  <c r="J19" i="16"/>
  <c r="J17" i="16"/>
  <c r="J13" i="16"/>
  <c r="G57" i="16"/>
  <c r="G55" i="16"/>
  <c r="G53" i="16"/>
  <c r="G50" i="16"/>
  <c r="G48" i="16"/>
  <c r="G45" i="16"/>
  <c r="G43" i="16"/>
  <c r="G41" i="16"/>
  <c r="G36" i="16"/>
  <c r="G34" i="16"/>
  <c r="G32" i="16"/>
  <c r="G29" i="16"/>
  <c r="G26" i="16"/>
  <c r="G24" i="16"/>
  <c r="G19" i="16"/>
  <c r="G17" i="16"/>
  <c r="G13" i="16"/>
  <c r="F16" i="16"/>
  <c r="F57" i="16"/>
  <c r="F55" i="16"/>
  <c r="F53" i="16"/>
  <c r="F50" i="16"/>
  <c r="F48" i="16"/>
  <c r="F45" i="16"/>
  <c r="F43" i="16"/>
  <c r="F41" i="16"/>
  <c r="F36" i="16"/>
  <c r="F34" i="16"/>
  <c r="F32" i="16"/>
  <c r="F29" i="16"/>
  <c r="F26" i="16"/>
  <c r="F24" i="16"/>
  <c r="F19" i="16"/>
  <c r="F17" i="16"/>
  <c r="F13" i="16"/>
  <c r="F18" i="16"/>
  <c r="F14" i="16"/>
  <c r="M56" i="16"/>
  <c r="M54" i="16"/>
  <c r="M51" i="16"/>
  <c r="M49" i="16"/>
  <c r="M47" i="16"/>
  <c r="M44" i="16"/>
  <c r="M42" i="16"/>
  <c r="M40" i="16"/>
  <c r="M37" i="16"/>
  <c r="M35" i="16"/>
  <c r="M33" i="16"/>
  <c r="M28" i="16"/>
  <c r="M25" i="16"/>
  <c r="M23" i="16"/>
  <c r="M18" i="16"/>
  <c r="M16" i="16"/>
  <c r="M14" i="16"/>
  <c r="J56" i="16"/>
  <c r="J54" i="16"/>
  <c r="J51" i="16"/>
  <c r="J49" i="16"/>
  <c r="J47" i="16"/>
  <c r="J44" i="16"/>
  <c r="J42" i="16"/>
  <c r="J40" i="16"/>
  <c r="J37" i="16"/>
  <c r="J35" i="16"/>
  <c r="J33" i="16"/>
  <c r="J28" i="16"/>
  <c r="J25" i="16"/>
  <c r="J23" i="16"/>
  <c r="J18" i="16"/>
  <c r="J16" i="16"/>
  <c r="J14" i="16"/>
  <c r="F42" i="16"/>
  <c r="G56" i="16"/>
  <c r="G54" i="16"/>
  <c r="G51" i="16"/>
  <c r="G49" i="16"/>
  <c r="G47" i="16"/>
  <c r="G44" i="16"/>
  <c r="G42" i="16"/>
  <c r="G40" i="16"/>
  <c r="G37" i="16"/>
  <c r="G35" i="16"/>
  <c r="G33" i="16"/>
  <c r="G28" i="16"/>
  <c r="G25" i="16"/>
  <c r="G23" i="16"/>
  <c r="G18" i="16"/>
  <c r="G16" i="16"/>
  <c r="G14" i="16"/>
  <c r="F56" i="16"/>
  <c r="F54" i="16"/>
  <c r="F51" i="16"/>
  <c r="F49" i="16"/>
  <c r="F47" i="16"/>
  <c r="F44" i="16"/>
  <c r="F40" i="16"/>
  <c r="F37" i="16"/>
  <c r="F35" i="16"/>
  <c r="H35" i="16" s="1"/>
  <c r="F33" i="16"/>
  <c r="F28" i="16"/>
  <c r="F23" i="16"/>
  <c r="K39" i="14"/>
  <c r="K46" i="14"/>
  <c r="K27" i="14"/>
  <c r="H46" i="14"/>
  <c r="H27" i="14"/>
  <c r="K52" i="14"/>
  <c r="H21" i="14"/>
  <c r="H52" i="14"/>
  <c r="K31" i="14"/>
  <c r="H39" i="14"/>
  <c r="H58" i="14"/>
  <c r="AC5" i="11"/>
  <c r="J42" i="21" l="1"/>
  <c r="J48" i="21"/>
  <c r="L25" i="18"/>
  <c r="L30" i="18"/>
  <c r="L35" i="19"/>
  <c r="L55" i="19"/>
  <c r="H15" i="16"/>
  <c r="I49" i="18"/>
  <c r="I35" i="18"/>
  <c r="I55" i="18"/>
  <c r="L24" i="18"/>
  <c r="L45" i="18"/>
  <c r="L49" i="19"/>
  <c r="L15" i="18"/>
  <c r="H20" i="19"/>
  <c r="H38" i="16"/>
  <c r="J56" i="21"/>
  <c r="J19" i="21"/>
  <c r="H49" i="20"/>
  <c r="H41" i="20"/>
  <c r="J17" i="21"/>
  <c r="J58" i="19"/>
  <c r="H52" i="21"/>
  <c r="J52" i="21" s="1"/>
  <c r="J37" i="21"/>
  <c r="J49" i="21"/>
  <c r="J29" i="21"/>
  <c r="H55" i="20"/>
  <c r="H36" i="20"/>
  <c r="F46" i="20"/>
  <c r="L18" i="18"/>
  <c r="L42" i="18"/>
  <c r="F21" i="18"/>
  <c r="I26" i="18"/>
  <c r="I48" i="18"/>
  <c r="L14" i="18"/>
  <c r="L37" i="18"/>
  <c r="L57" i="18"/>
  <c r="L29" i="19"/>
  <c r="L50" i="19"/>
  <c r="L18" i="19"/>
  <c r="J36" i="21"/>
  <c r="J43" i="21"/>
  <c r="J54" i="21"/>
  <c r="J35" i="21"/>
  <c r="L23" i="18"/>
  <c r="L44" i="18"/>
  <c r="I29" i="18"/>
  <c r="I50" i="18"/>
  <c r="L17" i="18"/>
  <c r="L41" i="18"/>
  <c r="O15" i="18"/>
  <c r="L23" i="19"/>
  <c r="L44" i="19"/>
  <c r="H21" i="21"/>
  <c r="H31" i="21"/>
  <c r="J16" i="21"/>
  <c r="J41" i="21"/>
  <c r="H56" i="20"/>
  <c r="H30" i="20"/>
  <c r="F52" i="18"/>
  <c r="L47" i="18"/>
  <c r="K52" i="18"/>
  <c r="O34" i="18"/>
  <c r="O54" i="18"/>
  <c r="I32" i="18"/>
  <c r="F39" i="18"/>
  <c r="I33" i="18"/>
  <c r="I53" i="18"/>
  <c r="H58" i="18"/>
  <c r="L19" i="18"/>
  <c r="L43" i="18"/>
  <c r="H27" i="18"/>
  <c r="I22" i="18"/>
  <c r="H40" i="19"/>
  <c r="G46" i="19"/>
  <c r="H32" i="19"/>
  <c r="G39" i="19"/>
  <c r="F52" i="19"/>
  <c r="G52" i="19"/>
  <c r="H47" i="19"/>
  <c r="J21" i="19"/>
  <c r="L25" i="19"/>
  <c r="L47" i="19"/>
  <c r="K52" i="19"/>
  <c r="O13" i="18"/>
  <c r="N21" i="18"/>
  <c r="H49" i="19"/>
  <c r="J46" i="19"/>
  <c r="K31" i="19"/>
  <c r="L28" i="19"/>
  <c r="J30" i="21"/>
  <c r="J51" i="21"/>
  <c r="J14" i="21"/>
  <c r="J57" i="21"/>
  <c r="H46" i="21"/>
  <c r="I31" i="21"/>
  <c r="J28" i="21"/>
  <c r="J50" i="21"/>
  <c r="F52" i="20"/>
  <c r="H44" i="20"/>
  <c r="F21" i="20"/>
  <c r="H57" i="20"/>
  <c r="G46" i="20"/>
  <c r="H46" i="20" s="1"/>
  <c r="H40" i="20"/>
  <c r="H29" i="20"/>
  <c r="H18" i="20"/>
  <c r="H46" i="18"/>
  <c r="I18" i="18"/>
  <c r="L32" i="18"/>
  <c r="K39" i="18"/>
  <c r="L51" i="18"/>
  <c r="O16" i="18"/>
  <c r="N46" i="18"/>
  <c r="O40" i="18"/>
  <c r="L22" i="18"/>
  <c r="K27" i="18"/>
  <c r="L27" i="18" s="1"/>
  <c r="O14" i="18"/>
  <c r="I14" i="18"/>
  <c r="I37" i="18"/>
  <c r="I57" i="18"/>
  <c r="L26" i="18"/>
  <c r="L48" i="18"/>
  <c r="I30" i="18"/>
  <c r="L17" i="19"/>
  <c r="L41" i="19"/>
  <c r="F39" i="19"/>
  <c r="H51" i="19"/>
  <c r="J27" i="19"/>
  <c r="K39" i="19"/>
  <c r="L32" i="19"/>
  <c r="L51" i="19"/>
  <c r="F27" i="19"/>
  <c r="H53" i="20"/>
  <c r="G58" i="20"/>
  <c r="K31" i="18"/>
  <c r="L31" i="18" s="1"/>
  <c r="L28" i="18"/>
  <c r="J34" i="21"/>
  <c r="J22" i="21"/>
  <c r="I27" i="21"/>
  <c r="J55" i="21"/>
  <c r="H24" i="20"/>
  <c r="F27" i="20"/>
  <c r="G39" i="20"/>
  <c r="H32" i="20"/>
  <c r="H20" i="20"/>
  <c r="I42" i="18"/>
  <c r="L34" i="18"/>
  <c r="L54" i="18"/>
  <c r="O18" i="18"/>
  <c r="O42" i="18"/>
  <c r="I25" i="18"/>
  <c r="I17" i="18"/>
  <c r="I41" i="18"/>
  <c r="I16" i="18"/>
  <c r="L29" i="18"/>
  <c r="L50" i="18"/>
  <c r="F27" i="18"/>
  <c r="I20" i="18"/>
  <c r="H17" i="19"/>
  <c r="L19" i="19"/>
  <c r="L43" i="19"/>
  <c r="H30" i="19"/>
  <c r="H54" i="19"/>
  <c r="L34" i="19"/>
  <c r="L54" i="19"/>
  <c r="N22" i="16"/>
  <c r="J47" i="21"/>
  <c r="I52" i="21"/>
  <c r="G31" i="20"/>
  <c r="H28" i="20"/>
  <c r="I13" i="18"/>
  <c r="H21" i="18"/>
  <c r="I21" i="18" s="1"/>
  <c r="O36" i="18"/>
  <c r="H39" i="21"/>
  <c r="J18" i="21"/>
  <c r="J26" i="21"/>
  <c r="J40" i="21"/>
  <c r="I46" i="21"/>
  <c r="H35" i="20"/>
  <c r="G21" i="20"/>
  <c r="H21" i="20" s="1"/>
  <c r="H13" i="20"/>
  <c r="H50" i="20"/>
  <c r="H42" i="20"/>
  <c r="I28" i="18"/>
  <c r="F31" i="18"/>
  <c r="N58" i="18"/>
  <c r="O53" i="18"/>
  <c r="L13" i="18"/>
  <c r="K21" i="18"/>
  <c r="L21" i="18" s="1"/>
  <c r="L36" i="18"/>
  <c r="L56" i="18"/>
  <c r="O23" i="18"/>
  <c r="O44" i="18"/>
  <c r="I40" i="18"/>
  <c r="F46" i="18"/>
  <c r="F58" i="18"/>
  <c r="I19" i="18"/>
  <c r="I43" i="18"/>
  <c r="L33" i="18"/>
  <c r="L53" i="18"/>
  <c r="K58" i="18"/>
  <c r="H13" i="19"/>
  <c r="G21" i="19"/>
  <c r="L24" i="19"/>
  <c r="L45" i="19"/>
  <c r="F21" i="19"/>
  <c r="H56" i="19"/>
  <c r="J52" i="19"/>
  <c r="K21" i="19"/>
  <c r="L21" i="19" s="1"/>
  <c r="L13" i="19"/>
  <c r="L36" i="19"/>
  <c r="L56" i="19"/>
  <c r="I58" i="21"/>
  <c r="J53" i="21"/>
  <c r="O56" i="18"/>
  <c r="I21" i="21"/>
  <c r="J21" i="21" s="1"/>
  <c r="J13" i="21"/>
  <c r="J25" i="21"/>
  <c r="F58" i="21"/>
  <c r="J33" i="21"/>
  <c r="F52" i="21"/>
  <c r="J44" i="21"/>
  <c r="F39" i="21"/>
  <c r="J24" i="21"/>
  <c r="H27" i="21"/>
  <c r="H33" i="20"/>
  <c r="H45" i="20"/>
  <c r="H25" i="20"/>
  <c r="H38" i="20"/>
  <c r="F39" i="20"/>
  <c r="H51" i="20"/>
  <c r="I44" i="18"/>
  <c r="O35" i="18"/>
  <c r="O55" i="18"/>
  <c r="H52" i="18"/>
  <c r="I52" i="18" s="1"/>
  <c r="I47" i="18"/>
  <c r="L16" i="18"/>
  <c r="L40" i="18"/>
  <c r="K46" i="18"/>
  <c r="L46" i="18" s="1"/>
  <c r="O25" i="18"/>
  <c r="O47" i="18"/>
  <c r="N52" i="18"/>
  <c r="I24" i="18"/>
  <c r="I45" i="18"/>
  <c r="I51" i="18"/>
  <c r="L35" i="18"/>
  <c r="L55" i="18"/>
  <c r="I15" i="18"/>
  <c r="O22" i="18"/>
  <c r="N27" i="18"/>
  <c r="O27" i="18" s="1"/>
  <c r="H53" i="19"/>
  <c r="G58" i="19"/>
  <c r="H41" i="19"/>
  <c r="L26" i="19"/>
  <c r="L48" i="19"/>
  <c r="F46" i="19"/>
  <c r="L15" i="19"/>
  <c r="J31" i="19"/>
  <c r="L16" i="19"/>
  <c r="L40" i="19"/>
  <c r="K46" i="19"/>
  <c r="L46" i="19" s="1"/>
  <c r="H15" i="19"/>
  <c r="K30" i="16"/>
  <c r="J32" i="21"/>
  <c r="I39" i="21"/>
  <c r="J39" i="21" s="1"/>
  <c r="H58" i="21"/>
  <c r="F21" i="21"/>
  <c r="I31" i="18"/>
  <c r="O28" i="18"/>
  <c r="N31" i="18"/>
  <c r="O31" i="18" s="1"/>
  <c r="O49" i="18"/>
  <c r="L22" i="19"/>
  <c r="K27" i="19"/>
  <c r="J39" i="19"/>
  <c r="L39" i="19" s="1"/>
  <c r="L42" i="19"/>
  <c r="H22" i="19"/>
  <c r="G27" i="19"/>
  <c r="H27" i="19" s="1"/>
  <c r="F58" i="19"/>
  <c r="K22" i="16"/>
  <c r="N20" i="16"/>
  <c r="J20" i="21"/>
  <c r="F27" i="21"/>
  <c r="F46" i="21"/>
  <c r="H22" i="20"/>
  <c r="G27" i="20"/>
  <c r="H27" i="20" s="1"/>
  <c r="G52" i="20"/>
  <c r="H52" i="20" s="1"/>
  <c r="H47" i="20"/>
  <c r="H26" i="20"/>
  <c r="F31" i="20"/>
  <c r="H39" i="18"/>
  <c r="I39" i="18" s="1"/>
  <c r="O32" i="18"/>
  <c r="N39" i="18"/>
  <c r="O51" i="18"/>
  <c r="H28" i="19"/>
  <c r="G31" i="19"/>
  <c r="H31" i="19" s="1"/>
  <c r="L33" i="19"/>
  <c r="K58" i="19"/>
  <c r="L53" i="19"/>
  <c r="H44" i="19"/>
  <c r="H30" i="16"/>
  <c r="N30" i="16"/>
  <c r="F31" i="16"/>
  <c r="K44" i="16"/>
  <c r="N18" i="16"/>
  <c r="N42" i="16"/>
  <c r="H18" i="16"/>
  <c r="H29" i="16"/>
  <c r="H50" i="16"/>
  <c r="K26" i="16"/>
  <c r="K48" i="16"/>
  <c r="N24" i="16"/>
  <c r="N45" i="16"/>
  <c r="F46" i="16"/>
  <c r="H42" i="16"/>
  <c r="F27" i="16"/>
  <c r="F39" i="16"/>
  <c r="H33" i="16"/>
  <c r="H51" i="16"/>
  <c r="K25" i="16"/>
  <c r="J52" i="16"/>
  <c r="K47" i="16"/>
  <c r="M27" i="16"/>
  <c r="N23" i="16"/>
  <c r="N44" i="16"/>
  <c r="F21" i="16"/>
  <c r="G39" i="16"/>
  <c r="H32" i="16"/>
  <c r="G58" i="16"/>
  <c r="H53" i="16"/>
  <c r="K29" i="16"/>
  <c r="K50" i="16"/>
  <c r="N26" i="16"/>
  <c r="N48" i="16"/>
  <c r="H54" i="16"/>
  <c r="K28" i="16"/>
  <c r="J31" i="16"/>
  <c r="K49" i="16"/>
  <c r="N25" i="16"/>
  <c r="M52" i="16"/>
  <c r="N47" i="16"/>
  <c r="H16" i="16"/>
  <c r="H34" i="16"/>
  <c r="H55" i="16"/>
  <c r="J39" i="16"/>
  <c r="K32" i="16"/>
  <c r="J58" i="16"/>
  <c r="K53" i="16"/>
  <c r="N29" i="16"/>
  <c r="N50" i="16"/>
  <c r="H37" i="16"/>
  <c r="H56" i="16"/>
  <c r="K33" i="16"/>
  <c r="K51" i="16"/>
  <c r="N28" i="16"/>
  <c r="M31" i="16"/>
  <c r="N49" i="16"/>
  <c r="G21" i="16"/>
  <c r="H21" i="16" s="1"/>
  <c r="H13" i="16"/>
  <c r="H36" i="16"/>
  <c r="H57" i="16"/>
  <c r="K34" i="16"/>
  <c r="K55" i="16"/>
  <c r="M39" i="16"/>
  <c r="N32" i="16"/>
  <c r="M58" i="16"/>
  <c r="N53" i="16"/>
  <c r="G31" i="16"/>
  <c r="H28" i="16"/>
  <c r="G46" i="16"/>
  <c r="H46" i="16" s="1"/>
  <c r="H40" i="16"/>
  <c r="K35" i="16"/>
  <c r="K54" i="16"/>
  <c r="N33" i="16"/>
  <c r="N51" i="16"/>
  <c r="K17" i="16"/>
  <c r="H17" i="16"/>
  <c r="H41" i="16"/>
  <c r="J21" i="16"/>
  <c r="K13" i="16"/>
  <c r="K36" i="16"/>
  <c r="K57" i="16"/>
  <c r="N34" i="16"/>
  <c r="N55" i="16"/>
  <c r="J27" i="16"/>
  <c r="K23" i="16"/>
  <c r="K14" i="16"/>
  <c r="K37" i="16"/>
  <c r="K56" i="16"/>
  <c r="N35" i="16"/>
  <c r="N54" i="16"/>
  <c r="H19" i="16"/>
  <c r="H43" i="16"/>
  <c r="K41" i="16"/>
  <c r="N13" i="16"/>
  <c r="M21" i="16"/>
  <c r="N36" i="16"/>
  <c r="N57" i="16"/>
  <c r="H47" i="16"/>
  <c r="F52" i="16"/>
  <c r="G27" i="16"/>
  <c r="H27" i="16" s="1"/>
  <c r="H23" i="16"/>
  <c r="H44" i="16"/>
  <c r="K16" i="16"/>
  <c r="K40" i="16"/>
  <c r="J46" i="16"/>
  <c r="N14" i="16"/>
  <c r="N37" i="16"/>
  <c r="N56" i="16"/>
  <c r="H24" i="16"/>
  <c r="H45" i="16"/>
  <c r="K19" i="16"/>
  <c r="K43" i="16"/>
  <c r="N17" i="16"/>
  <c r="N41" i="16"/>
  <c r="H49" i="16"/>
  <c r="H25" i="16"/>
  <c r="G52" i="16"/>
  <c r="K18" i="16"/>
  <c r="K42" i="16"/>
  <c r="N16" i="16"/>
  <c r="M46" i="16"/>
  <c r="N40" i="16"/>
  <c r="H14" i="16"/>
  <c r="F58" i="16"/>
  <c r="H26" i="16"/>
  <c r="H48" i="16"/>
  <c r="K24" i="16"/>
  <c r="K45" i="16"/>
  <c r="N19" i="16"/>
  <c r="N43" i="16"/>
  <c r="AD19" i="11"/>
  <c r="AD20" i="11"/>
  <c r="AD21" i="11"/>
  <c r="AD22" i="11"/>
  <c r="AD23" i="11"/>
  <c r="AD24" i="11"/>
  <c r="AD25" i="11"/>
  <c r="AD27" i="11"/>
  <c r="AD28" i="11"/>
  <c r="AD29" i="11"/>
  <c r="AD30" i="11"/>
  <c r="AD31" i="11"/>
  <c r="AD33" i="11"/>
  <c r="AD34" i="11"/>
  <c r="AD35" i="11"/>
  <c r="AD37" i="11"/>
  <c r="AD38" i="11"/>
  <c r="AD39" i="11"/>
  <c r="AD40" i="11"/>
  <c r="AD41" i="11"/>
  <c r="AD42" i="11"/>
  <c r="AD43" i="11"/>
  <c r="AD45" i="11"/>
  <c r="AD46" i="11"/>
  <c r="AD47" i="11"/>
  <c r="AD48" i="11"/>
  <c r="AD49" i="11"/>
  <c r="AD50" i="11"/>
  <c r="AD52" i="11"/>
  <c r="AD53" i="11"/>
  <c r="AD54" i="11"/>
  <c r="AD55" i="11"/>
  <c r="AD56" i="11"/>
  <c r="AD58" i="11"/>
  <c r="AD59" i="11"/>
  <c r="AD60" i="11"/>
  <c r="AD61" i="11"/>
  <c r="AD62" i="11"/>
  <c r="AD18" i="11"/>
  <c r="AC19" i="11"/>
  <c r="AC20" i="11"/>
  <c r="AC21" i="11"/>
  <c r="AC22" i="11"/>
  <c r="AC23" i="11"/>
  <c r="AC24" i="11"/>
  <c r="AC25" i="11"/>
  <c r="AC27" i="11"/>
  <c r="AC28" i="11"/>
  <c r="AC29" i="11"/>
  <c r="AC30" i="11"/>
  <c r="AC31" i="11"/>
  <c r="AC33" i="11"/>
  <c r="AC34" i="11"/>
  <c r="AC35" i="11"/>
  <c r="AC37" i="11"/>
  <c r="AC38" i="11"/>
  <c r="AC39" i="11"/>
  <c r="AC40" i="11"/>
  <c r="AC41" i="11"/>
  <c r="AC42" i="11"/>
  <c r="AC43" i="11"/>
  <c r="AC45" i="11"/>
  <c r="AC46" i="11"/>
  <c r="AC47" i="11"/>
  <c r="AC48" i="11"/>
  <c r="AC49" i="11"/>
  <c r="AC50" i="11"/>
  <c r="AC52" i="11"/>
  <c r="AC53" i="11"/>
  <c r="AC54" i="11"/>
  <c r="AC55" i="11"/>
  <c r="AC56" i="11"/>
  <c r="AC58" i="11"/>
  <c r="AC59" i="11"/>
  <c r="AC60" i="11"/>
  <c r="AC61" i="11"/>
  <c r="AC62" i="11"/>
  <c r="AC18" i="11"/>
  <c r="AD14" i="11"/>
  <c r="AC14" i="11"/>
  <c r="H31" i="16" l="1"/>
  <c r="J31" i="21"/>
  <c r="F59" i="18"/>
  <c r="F59" i="20"/>
  <c r="G59" i="19"/>
  <c r="J58" i="21"/>
  <c r="H59" i="21"/>
  <c r="F59" i="21"/>
  <c r="H21" i="19"/>
  <c r="J27" i="21"/>
  <c r="I46" i="18"/>
  <c r="H46" i="19"/>
  <c r="K59" i="19"/>
  <c r="L58" i="19"/>
  <c r="O52" i="18"/>
  <c r="L58" i="18"/>
  <c r="K59" i="18"/>
  <c r="H31" i="20"/>
  <c r="O46" i="18"/>
  <c r="L31" i="19"/>
  <c r="L52" i="19"/>
  <c r="J59" i="19"/>
  <c r="L59" i="19" s="1"/>
  <c r="L27" i="19"/>
  <c r="I27" i="18"/>
  <c r="H58" i="19"/>
  <c r="F59" i="19"/>
  <c r="H39" i="20"/>
  <c r="J46" i="21"/>
  <c r="H52" i="19"/>
  <c r="G59" i="20"/>
  <c r="H59" i="20" s="1"/>
  <c r="H58" i="20"/>
  <c r="L39" i="18"/>
  <c r="N59" i="18"/>
  <c r="O21" i="18"/>
  <c r="L52" i="18"/>
  <c r="O39" i="18"/>
  <c r="I59" i="21"/>
  <c r="H39" i="19"/>
  <c r="O58" i="18"/>
  <c r="H59" i="18"/>
  <c r="I59" i="18" s="1"/>
  <c r="I58" i="18"/>
  <c r="K39" i="16"/>
  <c r="N39" i="16"/>
  <c r="K31" i="16"/>
  <c r="K52" i="16"/>
  <c r="N46" i="16"/>
  <c r="K46" i="16"/>
  <c r="N52" i="16"/>
  <c r="N58" i="16"/>
  <c r="M59" i="16"/>
  <c r="N21" i="16"/>
  <c r="N31" i="16"/>
  <c r="K21" i="16"/>
  <c r="K58" i="16"/>
  <c r="J59" i="16"/>
  <c r="N27" i="16"/>
  <c r="F59" i="16"/>
  <c r="H52" i="16"/>
  <c r="K27" i="16"/>
  <c r="H58" i="16"/>
  <c r="G59" i="16"/>
  <c r="H39" i="16"/>
  <c r="AC57" i="11"/>
  <c r="AE20" i="11"/>
  <c r="AE39" i="11"/>
  <c r="AE31" i="11"/>
  <c r="AE14" i="11"/>
  <c r="AC32" i="11"/>
  <c r="AC26" i="11"/>
  <c r="AE55" i="11"/>
  <c r="AC51" i="11"/>
  <c r="AE62" i="11"/>
  <c r="AE53" i="11"/>
  <c r="AE43" i="11"/>
  <c r="AE34" i="11"/>
  <c r="AE24" i="11"/>
  <c r="AE23" i="11"/>
  <c r="AE61" i="11"/>
  <c r="AD57" i="11"/>
  <c r="AE42" i="11"/>
  <c r="AE33" i="11"/>
  <c r="AC36" i="11"/>
  <c r="AE60" i="11"/>
  <c r="AE50" i="11"/>
  <c r="AE41" i="11"/>
  <c r="AE22" i="11"/>
  <c r="AE59" i="11"/>
  <c r="AE49" i="11"/>
  <c r="AE40" i="11"/>
  <c r="AE30" i="11"/>
  <c r="AE21" i="11"/>
  <c r="AE58" i="11"/>
  <c r="AE48" i="11"/>
  <c r="AE29" i="11"/>
  <c r="AC63" i="11"/>
  <c r="AE56" i="11"/>
  <c r="AD51" i="11"/>
  <c r="AE38" i="11"/>
  <c r="AE28" i="11"/>
  <c r="AE19" i="11"/>
  <c r="AE46" i="11"/>
  <c r="AE37" i="11"/>
  <c r="AD32" i="11"/>
  <c r="AE32" i="11" s="1"/>
  <c r="AD26" i="11"/>
  <c r="AE54" i="11"/>
  <c r="AE45" i="11"/>
  <c r="AE35" i="11"/>
  <c r="AE25" i="11"/>
  <c r="AD36" i="11"/>
  <c r="AD63" i="11"/>
  <c r="AE18" i="11"/>
  <c r="AD44" i="11"/>
  <c r="AC44" i="11"/>
  <c r="AE47" i="11"/>
  <c r="AE52" i="11"/>
  <c r="AE27" i="11"/>
  <c r="AC9" i="11"/>
  <c r="AE9" i="11" s="1"/>
  <c r="AG9" i="11" s="1"/>
  <c r="AC8" i="11"/>
  <c r="AE8" i="11" s="1"/>
  <c r="AG8" i="11" s="1"/>
  <c r="AC7" i="11"/>
  <c r="AE7" i="11" s="1"/>
  <c r="AG7" i="11" s="1"/>
  <c r="AC6" i="11"/>
  <c r="AE6" i="11" s="1"/>
  <c r="AG6" i="11" s="1"/>
  <c r="AE5" i="11"/>
  <c r="AG5" i="11" s="1"/>
  <c r="J59" i="21" l="1"/>
  <c r="O59" i="18"/>
  <c r="L59" i="18"/>
  <c r="H59" i="19"/>
  <c r="K59" i="16"/>
  <c r="N59" i="16"/>
  <c r="H59" i="16"/>
  <c r="AE26" i="11"/>
  <c r="AE63" i="11"/>
  <c r="AE51" i="11"/>
  <c r="AC64" i="11"/>
  <c r="AE36" i="11"/>
  <c r="AE57" i="11"/>
  <c r="AE44" i="11"/>
  <c r="AD64" i="11"/>
  <c r="AE64" i="11" l="1"/>
  <c r="L9" i="5" l="1"/>
  <c r="E4" i="10" l="1"/>
  <c r="T8" i="9"/>
  <c r="I8" i="9"/>
  <c r="J8" i="9" s="1"/>
  <c r="D61" i="3" l="1"/>
  <c r="E55" i="21" l="1"/>
  <c r="E50" i="21"/>
  <c r="E45" i="21"/>
  <c r="E41" i="21"/>
  <c r="E36" i="21"/>
  <c r="E32" i="21"/>
  <c r="E39" i="21" s="1"/>
  <c r="E26" i="21"/>
  <c r="E22" i="21"/>
  <c r="E27" i="21" s="1"/>
  <c r="E17" i="21"/>
  <c r="E13" i="21"/>
  <c r="E21" i="21" s="1"/>
  <c r="E56" i="20"/>
  <c r="E51" i="20"/>
  <c r="E47" i="20"/>
  <c r="E52" i="20" s="1"/>
  <c r="E42" i="20"/>
  <c r="E37" i="20"/>
  <c r="E33" i="20"/>
  <c r="E28" i="20"/>
  <c r="E31" i="20" s="1"/>
  <c r="E23" i="20"/>
  <c r="E18" i="20"/>
  <c r="E14" i="20"/>
  <c r="E56" i="19"/>
  <c r="E51" i="19"/>
  <c r="E47" i="19"/>
  <c r="E52" i="19" s="1"/>
  <c r="E42" i="19"/>
  <c r="E37" i="19"/>
  <c r="E33" i="19"/>
  <c r="E28" i="19"/>
  <c r="E31" i="19" s="1"/>
  <c r="G16" i="21"/>
  <c r="G20" i="21"/>
  <c r="G25" i="21"/>
  <c r="G30" i="21"/>
  <c r="G35" i="21"/>
  <c r="G40" i="21"/>
  <c r="G46" i="21" s="1"/>
  <c r="G44" i="21"/>
  <c r="G49" i="21"/>
  <c r="G54" i="21"/>
  <c r="D55" i="21"/>
  <c r="D50" i="21"/>
  <c r="D45" i="21"/>
  <c r="D41" i="21"/>
  <c r="D36" i="21"/>
  <c r="D32" i="21"/>
  <c r="D26" i="21"/>
  <c r="D22" i="21"/>
  <c r="D17" i="21"/>
  <c r="D13" i="21"/>
  <c r="D56" i="20"/>
  <c r="D51" i="20"/>
  <c r="D47" i="20"/>
  <c r="D42" i="20"/>
  <c r="D37" i="20"/>
  <c r="D33" i="20"/>
  <c r="D28" i="20"/>
  <c r="D23" i="20"/>
  <c r="D18" i="20"/>
  <c r="D14" i="20"/>
  <c r="D56" i="19"/>
  <c r="D51" i="19"/>
  <c r="D47" i="19"/>
  <c r="D42" i="19"/>
  <c r="G14" i="21"/>
  <c r="G13" i="21"/>
  <c r="G21" i="21" s="1"/>
  <c r="E54" i="21"/>
  <c r="E49" i="21"/>
  <c r="E44" i="21"/>
  <c r="E40" i="21"/>
  <c r="E46" i="21" s="1"/>
  <c r="E35" i="21"/>
  <c r="E30" i="21"/>
  <c r="E25" i="21"/>
  <c r="E20" i="21"/>
  <c r="E16" i="21"/>
  <c r="E55" i="20"/>
  <c r="E50" i="20"/>
  <c r="E45" i="20"/>
  <c r="E41" i="20"/>
  <c r="E36" i="20"/>
  <c r="E32" i="20"/>
  <c r="E39" i="20" s="1"/>
  <c r="E26" i="20"/>
  <c r="E22" i="20"/>
  <c r="E27" i="20" s="1"/>
  <c r="E17" i="20"/>
  <c r="E13" i="20"/>
  <c r="E21" i="20" s="1"/>
  <c r="E55" i="19"/>
  <c r="E50" i="19"/>
  <c r="E45" i="19"/>
  <c r="E41" i="19"/>
  <c r="E36" i="19"/>
  <c r="E32" i="19"/>
  <c r="E39" i="19" s="1"/>
  <c r="E26" i="19"/>
  <c r="E22" i="19"/>
  <c r="E27" i="19" s="1"/>
  <c r="E17" i="19"/>
  <c r="G17" i="21"/>
  <c r="G22" i="21"/>
  <c r="G27" i="21" s="1"/>
  <c r="G26" i="21"/>
  <c r="G32" i="21"/>
  <c r="G39" i="21" s="1"/>
  <c r="G36" i="21"/>
  <c r="G41" i="21"/>
  <c r="G45" i="21"/>
  <c r="G50" i="21"/>
  <c r="G55" i="21"/>
  <c r="D54" i="21"/>
  <c r="D49" i="21"/>
  <c r="D44" i="21"/>
  <c r="D40" i="21"/>
  <c r="D35" i="21"/>
  <c r="D30" i="21"/>
  <c r="D25" i="21"/>
  <c r="D20" i="21"/>
  <c r="D16" i="21"/>
  <c r="D55" i="20"/>
  <c r="D50" i="20"/>
  <c r="D45" i="20"/>
  <c r="D41" i="20"/>
  <c r="D36" i="20"/>
  <c r="D32" i="20"/>
  <c r="D26" i="20"/>
  <c r="D22" i="20"/>
  <c r="D17" i="20"/>
  <c r="D13" i="20"/>
  <c r="E57" i="21"/>
  <c r="E53" i="21"/>
  <c r="E58" i="21" s="1"/>
  <c r="E48" i="21"/>
  <c r="E43" i="21"/>
  <c r="E38" i="21"/>
  <c r="E34" i="21"/>
  <c r="E29" i="21"/>
  <c r="E24" i="21"/>
  <c r="E19" i="21"/>
  <c r="E15" i="21"/>
  <c r="E54" i="20"/>
  <c r="E49" i="20"/>
  <c r="E44" i="20"/>
  <c r="E40" i="20"/>
  <c r="E46" i="20" s="1"/>
  <c r="E35" i="20"/>
  <c r="E30" i="20"/>
  <c r="E25" i="20"/>
  <c r="E20" i="20"/>
  <c r="E16" i="20"/>
  <c r="E54" i="19"/>
  <c r="E49" i="19"/>
  <c r="E44" i="19"/>
  <c r="E40" i="19"/>
  <c r="E46" i="19" s="1"/>
  <c r="E35" i="19"/>
  <c r="E30" i="19"/>
  <c r="E25" i="19"/>
  <c r="E20" i="19"/>
  <c r="E16" i="19"/>
  <c r="G18" i="21"/>
  <c r="G23" i="21"/>
  <c r="G28" i="21"/>
  <c r="G31" i="21" s="1"/>
  <c r="G33" i="21"/>
  <c r="G37" i="21"/>
  <c r="G42" i="21"/>
  <c r="G47" i="21"/>
  <c r="G52" i="21" s="1"/>
  <c r="G51" i="21"/>
  <c r="G56" i="21"/>
  <c r="D57" i="21"/>
  <c r="D53" i="21"/>
  <c r="D48" i="21"/>
  <c r="D43" i="21"/>
  <c r="D38" i="21"/>
  <c r="D34" i="21"/>
  <c r="D29" i="21"/>
  <c r="D24" i="21"/>
  <c r="D19" i="21"/>
  <c r="D15" i="21"/>
  <c r="D54" i="20"/>
  <c r="D49" i="20"/>
  <c r="D44" i="20"/>
  <c r="D40" i="20"/>
  <c r="D35" i="20"/>
  <c r="D30" i="20"/>
  <c r="D25" i="20"/>
  <c r="D20" i="20"/>
  <c r="D16" i="20"/>
  <c r="E56" i="21"/>
  <c r="E51" i="21"/>
  <c r="E47" i="21"/>
  <c r="E52" i="21" s="1"/>
  <c r="E42" i="21"/>
  <c r="E37" i="21"/>
  <c r="E33" i="21"/>
  <c r="E28" i="21"/>
  <c r="E31" i="21" s="1"/>
  <c r="E23" i="21"/>
  <c r="E18" i="21"/>
  <c r="E14" i="21"/>
  <c r="E57" i="20"/>
  <c r="E53" i="20"/>
  <c r="E58" i="20" s="1"/>
  <c r="E48" i="20"/>
  <c r="E43" i="20"/>
  <c r="E38" i="20"/>
  <c r="E34" i="20"/>
  <c r="E29" i="20"/>
  <c r="E24" i="20"/>
  <c r="E19" i="20"/>
  <c r="E15" i="20"/>
  <c r="E57" i="19"/>
  <c r="E53" i="19"/>
  <c r="E58" i="19" s="1"/>
  <c r="E48" i="19"/>
  <c r="E43" i="19"/>
  <c r="E38" i="19"/>
  <c r="E34" i="19"/>
  <c r="E29" i="19"/>
  <c r="E24" i="19"/>
  <c r="E19" i="19"/>
  <c r="E15" i="19"/>
  <c r="G24" i="21"/>
  <c r="D28" i="21"/>
  <c r="D31" i="21" s="1"/>
  <c r="D57" i="20"/>
  <c r="D19" i="20"/>
  <c r="D55" i="19"/>
  <c r="D43" i="19"/>
  <c r="D33" i="19"/>
  <c r="E23" i="19"/>
  <c r="D16" i="19"/>
  <c r="E57" i="18"/>
  <c r="E53" i="18"/>
  <c r="E58" i="18" s="1"/>
  <c r="E48" i="18"/>
  <c r="E43" i="18"/>
  <c r="D35" i="18"/>
  <c r="G35" i="18" s="1"/>
  <c r="E30" i="18"/>
  <c r="E25" i="18"/>
  <c r="E20" i="18"/>
  <c r="E16" i="18"/>
  <c r="D20" i="18"/>
  <c r="G20" i="18" s="1"/>
  <c r="E26" i="18"/>
  <c r="G29" i="21"/>
  <c r="D23" i="21"/>
  <c r="D53" i="20"/>
  <c r="D15" i="20"/>
  <c r="D54" i="19"/>
  <c r="D41" i="19"/>
  <c r="D32" i="19"/>
  <c r="D39" i="19" s="1"/>
  <c r="D23" i="19"/>
  <c r="D15" i="19"/>
  <c r="D57" i="18"/>
  <c r="G57" i="18" s="1"/>
  <c r="D53" i="18"/>
  <c r="D48" i="18"/>
  <c r="G48" i="18" s="1"/>
  <c r="D43" i="18"/>
  <c r="G43" i="18" s="1"/>
  <c r="E38" i="18"/>
  <c r="E34" i="18"/>
  <c r="D30" i="18"/>
  <c r="G30" i="18" s="1"/>
  <c r="D25" i="18"/>
  <c r="G25" i="18" s="1"/>
  <c r="D16" i="18"/>
  <c r="G16" i="18" s="1"/>
  <c r="D35" i="19"/>
  <c r="E44" i="18"/>
  <c r="E13" i="18"/>
  <c r="E21" i="18" s="1"/>
  <c r="G34" i="21"/>
  <c r="D56" i="21"/>
  <c r="D18" i="21"/>
  <c r="D48" i="20"/>
  <c r="D53" i="19"/>
  <c r="D40" i="19"/>
  <c r="D30" i="19"/>
  <c r="D22" i="19"/>
  <c r="E14" i="19"/>
  <c r="E56" i="18"/>
  <c r="E51" i="18"/>
  <c r="E47" i="18"/>
  <c r="E52" i="18" s="1"/>
  <c r="E42" i="18"/>
  <c r="D38" i="18"/>
  <c r="G38" i="18" s="1"/>
  <c r="D34" i="18"/>
  <c r="G34" i="18" s="1"/>
  <c r="E29" i="18"/>
  <c r="E24" i="18"/>
  <c r="E19" i="18"/>
  <c r="E15" i="18"/>
  <c r="D19" i="18"/>
  <c r="G19" i="18" s="1"/>
  <c r="D14" i="18"/>
  <c r="G14" i="18" s="1"/>
  <c r="D37" i="21"/>
  <c r="D32" i="18"/>
  <c r="G38" i="21"/>
  <c r="D51" i="21"/>
  <c r="D14" i="21"/>
  <c r="D43" i="20"/>
  <c r="D50" i="19"/>
  <c r="D38" i="19"/>
  <c r="D29" i="19"/>
  <c r="D20" i="19"/>
  <c r="D14" i="19"/>
  <c r="D56" i="18"/>
  <c r="G56" i="18" s="1"/>
  <c r="D51" i="18"/>
  <c r="G51" i="18" s="1"/>
  <c r="D47" i="18"/>
  <c r="D42" i="18"/>
  <c r="G42" i="18" s="1"/>
  <c r="E37" i="18"/>
  <c r="E33" i="18"/>
  <c r="D29" i="18"/>
  <c r="G29" i="18" s="1"/>
  <c r="D24" i="18"/>
  <c r="G24" i="18" s="1"/>
  <c r="D15" i="18"/>
  <c r="G15" i="18" s="1"/>
  <c r="G53" i="21"/>
  <c r="G58" i="21" s="1"/>
  <c r="G59" i="21" s="1"/>
  <c r="D45" i="19"/>
  <c r="D36" i="18"/>
  <c r="G36" i="18" s="1"/>
  <c r="G43" i="21"/>
  <c r="D47" i="21"/>
  <c r="D52" i="21" s="1"/>
  <c r="D38" i="20"/>
  <c r="D49" i="19"/>
  <c r="D37" i="19"/>
  <c r="D28" i="19"/>
  <c r="D31" i="19" s="1"/>
  <c r="D19" i="19"/>
  <c r="E13" i="19"/>
  <c r="E21" i="19" s="1"/>
  <c r="E55" i="18"/>
  <c r="E50" i="18"/>
  <c r="E45" i="18"/>
  <c r="E41" i="18"/>
  <c r="D37" i="18"/>
  <c r="G37" i="18" s="1"/>
  <c r="D33" i="18"/>
  <c r="G33" i="18" s="1"/>
  <c r="E28" i="18"/>
  <c r="E31" i="18" s="1"/>
  <c r="E23" i="18"/>
  <c r="E18" i="18"/>
  <c r="E14" i="18"/>
  <c r="D23" i="18"/>
  <c r="G23" i="18" s="1"/>
  <c r="D25" i="19"/>
  <c r="E54" i="18"/>
  <c r="E22" i="18"/>
  <c r="E27" i="18" s="1"/>
  <c r="G48" i="21"/>
  <c r="D42" i="21"/>
  <c r="D34" i="20"/>
  <c r="D48" i="19"/>
  <c r="D36" i="19"/>
  <c r="D26" i="19"/>
  <c r="E18" i="19"/>
  <c r="D13" i="19"/>
  <c r="D21" i="19" s="1"/>
  <c r="D55" i="18"/>
  <c r="G55" i="18" s="1"/>
  <c r="D50" i="18"/>
  <c r="G50" i="18" s="1"/>
  <c r="D45" i="18"/>
  <c r="G45" i="18" s="1"/>
  <c r="D41" i="18"/>
  <c r="G41" i="18" s="1"/>
  <c r="E36" i="18"/>
  <c r="E32" i="18"/>
  <c r="E39" i="18" s="1"/>
  <c r="D28" i="18"/>
  <c r="D18" i="18"/>
  <c r="G18" i="18" s="1"/>
  <c r="G15" i="21"/>
  <c r="E49" i="18"/>
  <c r="G19" i="21"/>
  <c r="G57" i="21"/>
  <c r="D33" i="21"/>
  <c r="D24" i="20"/>
  <c r="D57" i="19"/>
  <c r="D44" i="19"/>
  <c r="D34" i="19"/>
  <c r="D24" i="19"/>
  <c r="D17" i="19"/>
  <c r="D54" i="18"/>
  <c r="G54" i="18" s="1"/>
  <c r="D49" i="18"/>
  <c r="G49" i="18" s="1"/>
  <c r="D44" i="18"/>
  <c r="G44" i="18" s="1"/>
  <c r="D40" i="18"/>
  <c r="E35" i="18"/>
  <c r="D26" i="18"/>
  <c r="G26" i="18" s="1"/>
  <c r="D22" i="18"/>
  <c r="D17" i="18"/>
  <c r="G17" i="18" s="1"/>
  <c r="D13" i="18"/>
  <c r="D29" i="20"/>
  <c r="D18" i="19"/>
  <c r="E40" i="18"/>
  <c r="E46" i="18" s="1"/>
  <c r="E17" i="18"/>
  <c r="D54" i="16"/>
  <c r="D49" i="16"/>
  <c r="E44" i="16"/>
  <c r="E40" i="16"/>
  <c r="E46" i="16" s="1"/>
  <c r="E36" i="16"/>
  <c r="E32" i="16"/>
  <c r="E39" i="16" s="1"/>
  <c r="E28" i="16"/>
  <c r="E31" i="16" s="1"/>
  <c r="E23" i="16"/>
  <c r="E18" i="16"/>
  <c r="E14" i="16"/>
  <c r="E57" i="16"/>
  <c r="E53" i="16"/>
  <c r="E58" i="16" s="1"/>
  <c r="D44" i="16"/>
  <c r="D36" i="16"/>
  <c r="D28" i="16"/>
  <c r="D23" i="16"/>
  <c r="D14" i="16"/>
  <c r="D33" i="16"/>
  <c r="D15" i="16"/>
  <c r="E48" i="16"/>
  <c r="D40" i="16"/>
  <c r="D32" i="16"/>
  <c r="D18" i="16"/>
  <c r="D37" i="16"/>
  <c r="D19" i="16"/>
  <c r="D57" i="16"/>
  <c r="D53" i="16"/>
  <c r="D48" i="16"/>
  <c r="E43" i="16"/>
  <c r="E35" i="16"/>
  <c r="E26" i="16"/>
  <c r="E22" i="16"/>
  <c r="E27" i="16" s="1"/>
  <c r="E17" i="16"/>
  <c r="E13" i="16"/>
  <c r="E21" i="16" s="1"/>
  <c r="E54" i="16"/>
  <c r="D45" i="16"/>
  <c r="D29" i="16"/>
  <c r="E56" i="16"/>
  <c r="E51" i="16"/>
  <c r="E47" i="16"/>
  <c r="E52" i="16" s="1"/>
  <c r="D43" i="16"/>
  <c r="D35" i="16"/>
  <c r="D26" i="16"/>
  <c r="D22" i="16"/>
  <c r="D17" i="16"/>
  <c r="D13" i="16"/>
  <c r="E49" i="16"/>
  <c r="D41" i="16"/>
  <c r="D24" i="16"/>
  <c r="D56" i="16"/>
  <c r="D51" i="16"/>
  <c r="D47" i="16"/>
  <c r="E42" i="16"/>
  <c r="E38" i="16"/>
  <c r="E34" i="16"/>
  <c r="E30" i="16"/>
  <c r="E25" i="16"/>
  <c r="E20" i="16"/>
  <c r="E16" i="16"/>
  <c r="E55" i="16"/>
  <c r="D42" i="16"/>
  <c r="D34" i="16"/>
  <c r="D25" i="16"/>
  <c r="D16" i="16"/>
  <c r="E50" i="16"/>
  <c r="D38" i="16"/>
  <c r="D30" i="16"/>
  <c r="D20" i="16"/>
  <c r="D55" i="16"/>
  <c r="D50" i="16"/>
  <c r="E45" i="16"/>
  <c r="E41" i="16"/>
  <c r="E37" i="16"/>
  <c r="E33" i="16"/>
  <c r="E29" i="16"/>
  <c r="E24" i="16"/>
  <c r="E19" i="16"/>
  <c r="E15" i="16"/>
  <c r="G55" i="14"/>
  <c r="D54" i="14"/>
  <c r="F51" i="14"/>
  <c r="G48" i="14"/>
  <c r="F47" i="14"/>
  <c r="E43" i="14"/>
  <c r="G41" i="14"/>
  <c r="F40" i="14"/>
  <c r="F38" i="14"/>
  <c r="E35" i="14"/>
  <c r="G33" i="14"/>
  <c r="F32" i="14"/>
  <c r="E30" i="14"/>
  <c r="G28" i="14"/>
  <c r="D26" i="14"/>
  <c r="F22" i="14"/>
  <c r="D20" i="14"/>
  <c r="E18" i="14"/>
  <c r="G14" i="14"/>
  <c r="D13" i="14"/>
  <c r="G56" i="14"/>
  <c r="F55" i="14"/>
  <c r="G53" i="14"/>
  <c r="E51" i="14"/>
  <c r="G49" i="14"/>
  <c r="F48" i="14"/>
  <c r="E47" i="14"/>
  <c r="E52" i="14" s="1"/>
  <c r="G44" i="14"/>
  <c r="D43" i="14"/>
  <c r="F41" i="14"/>
  <c r="D35" i="14"/>
  <c r="F28" i="14"/>
  <c r="G57" i="14"/>
  <c r="F56" i="14"/>
  <c r="E55" i="14"/>
  <c r="F53" i="14"/>
  <c r="D51" i="14"/>
  <c r="F49" i="14"/>
  <c r="E48" i="14"/>
  <c r="D47" i="14"/>
  <c r="F44" i="14"/>
  <c r="G42" i="14"/>
  <c r="E41" i="14"/>
  <c r="D40" i="14"/>
  <c r="D38" i="14"/>
  <c r="F36" i="14"/>
  <c r="G34" i="14"/>
  <c r="E33" i="14"/>
  <c r="D32" i="14"/>
  <c r="G29" i="14"/>
  <c r="E28" i="14"/>
  <c r="E31" i="14" s="1"/>
  <c r="G24" i="14"/>
  <c r="F23" i="14"/>
  <c r="D22" i="14"/>
  <c r="G19" i="14"/>
  <c r="G16" i="14"/>
  <c r="F15" i="14"/>
  <c r="E14" i="14"/>
  <c r="E15" i="14"/>
  <c r="D14" i="14"/>
  <c r="G26" i="14"/>
  <c r="G20" i="14"/>
  <c r="G13" i="14"/>
  <c r="G40" i="14"/>
  <c r="G32" i="14"/>
  <c r="D17" i="14"/>
  <c r="E38" i="14"/>
  <c r="E32" i="14"/>
  <c r="E39" i="14" s="1"/>
  <c r="D18" i="14"/>
  <c r="F57" i="14"/>
  <c r="E56" i="14"/>
  <c r="D55" i="14"/>
  <c r="E53" i="14"/>
  <c r="E58" i="14" s="1"/>
  <c r="G50" i="14"/>
  <c r="E49" i="14"/>
  <c r="D48" i="14"/>
  <c r="G45" i="14"/>
  <c r="E44" i="14"/>
  <c r="F42" i="14"/>
  <c r="D41" i="14"/>
  <c r="G37" i="14"/>
  <c r="E36" i="14"/>
  <c r="F34" i="14"/>
  <c r="D33" i="14"/>
  <c r="F29" i="14"/>
  <c r="D28" i="14"/>
  <c r="G25" i="14"/>
  <c r="F24" i="14"/>
  <c r="E23" i="14"/>
  <c r="F19" i="14"/>
  <c r="F16" i="14"/>
  <c r="E37" i="14"/>
  <c r="D29" i="14"/>
  <c r="D16" i="14"/>
  <c r="F18" i="14"/>
  <c r="G36" i="14"/>
  <c r="E22" i="14"/>
  <c r="E27" i="14" s="1"/>
  <c r="F14" i="14"/>
  <c r="E57" i="14"/>
  <c r="D56" i="14"/>
  <c r="D53" i="14"/>
  <c r="F50" i="14"/>
  <c r="D49" i="14"/>
  <c r="F45" i="14"/>
  <c r="D44" i="14"/>
  <c r="E42" i="14"/>
  <c r="F37" i="14"/>
  <c r="D36" i="14"/>
  <c r="E34" i="14"/>
  <c r="M30" i="14"/>
  <c r="E29" i="14"/>
  <c r="F25" i="14"/>
  <c r="E24" i="14"/>
  <c r="D23" i="14"/>
  <c r="E19" i="14"/>
  <c r="G17" i="14"/>
  <c r="E16" i="14"/>
  <c r="D15" i="14"/>
  <c r="M38" i="14"/>
  <c r="E25" i="14"/>
  <c r="D24" i="14"/>
  <c r="D19" i="14"/>
  <c r="F43" i="14"/>
  <c r="F30" i="14"/>
  <c r="G22" i="14"/>
  <c r="F33" i="14"/>
  <c r="G23" i="14"/>
  <c r="G15" i="14"/>
  <c r="D57" i="14"/>
  <c r="G54" i="14"/>
  <c r="E50" i="14"/>
  <c r="E45" i="14"/>
  <c r="D42" i="14"/>
  <c r="D34" i="14"/>
  <c r="F17" i="14"/>
  <c r="E13" i="14"/>
  <c r="E21" i="14" s="1"/>
  <c r="F54" i="14"/>
  <c r="D50" i="14"/>
  <c r="D45" i="14"/>
  <c r="G43" i="14"/>
  <c r="D37" i="14"/>
  <c r="G35" i="14"/>
  <c r="G30" i="14"/>
  <c r="F26" i="14"/>
  <c r="D25" i="14"/>
  <c r="F20" i="14"/>
  <c r="G18" i="14"/>
  <c r="E17" i="14"/>
  <c r="F13" i="14"/>
  <c r="E54" i="14"/>
  <c r="G51" i="14"/>
  <c r="G47" i="14"/>
  <c r="G38" i="14"/>
  <c r="F35" i="14"/>
  <c r="E26" i="14"/>
  <c r="E20" i="14"/>
  <c r="E40" i="14"/>
  <c r="E46" i="14" s="1"/>
  <c r="D30" i="14"/>
  <c r="F10" i="3"/>
  <c r="F18" i="3" s="1"/>
  <c r="E10" i="3"/>
  <c r="E17" i="3"/>
  <c r="F35" i="3"/>
  <c r="E12" i="3"/>
  <c r="E35" i="3"/>
  <c r="F12" i="3"/>
  <c r="F27" i="3"/>
  <c r="F11" i="3"/>
  <c r="E27" i="3"/>
  <c r="E11" i="3"/>
  <c r="F19" i="3"/>
  <c r="H26" i="3"/>
  <c r="E19" i="3"/>
  <c r="F17" i="3"/>
  <c r="Q35" i="3"/>
  <c r="Q19" i="3"/>
  <c r="Q12" i="3"/>
  <c r="Q17" i="3"/>
  <c r="Q27" i="3"/>
  <c r="H17" i="3"/>
  <c r="H19" i="3"/>
  <c r="H35" i="3"/>
  <c r="H27" i="3"/>
  <c r="H12" i="3"/>
  <c r="G35" i="3"/>
  <c r="G27" i="3"/>
  <c r="G19" i="3"/>
  <c r="G17" i="3"/>
  <c r="G12" i="3"/>
  <c r="AA27" i="3"/>
  <c r="Z27" i="3"/>
  <c r="AA19" i="3"/>
  <c r="AA24" i="3" s="1"/>
  <c r="AA17" i="3"/>
  <c r="Z17" i="3"/>
  <c r="Z12" i="3"/>
  <c r="Z19" i="3"/>
  <c r="AA35" i="3"/>
  <c r="Z35" i="3"/>
  <c r="F31" i="3"/>
  <c r="F20" i="3"/>
  <c r="E54" i="3"/>
  <c r="E40" i="3"/>
  <c r="E23" i="3"/>
  <c r="E51" i="3"/>
  <c r="E46" i="3"/>
  <c r="E41" i="3"/>
  <c r="E37" i="3"/>
  <c r="E31" i="3"/>
  <c r="E25" i="3"/>
  <c r="E20" i="3"/>
  <c r="E13" i="3"/>
  <c r="F54" i="3"/>
  <c r="F50" i="3"/>
  <c r="F55" i="3" s="1"/>
  <c r="F45" i="3"/>
  <c r="F40" i="3"/>
  <c r="F34" i="3"/>
  <c r="F30" i="3"/>
  <c r="F16" i="3"/>
  <c r="E50" i="3"/>
  <c r="E34" i="3"/>
  <c r="E16" i="3"/>
  <c r="F53" i="3"/>
  <c r="F48" i="3"/>
  <c r="F44" i="3"/>
  <c r="F49" i="3" s="1"/>
  <c r="F39" i="3"/>
  <c r="F33" i="3"/>
  <c r="F29" i="3"/>
  <c r="F36" i="3" s="1"/>
  <c r="F22" i="3"/>
  <c r="F15" i="3"/>
  <c r="E53" i="3"/>
  <c r="E48" i="3"/>
  <c r="E44" i="3"/>
  <c r="E39" i="3"/>
  <c r="E29" i="3"/>
  <c r="E22" i="3"/>
  <c r="F47" i="3"/>
  <c r="F38" i="3"/>
  <c r="F26" i="3"/>
  <c r="F14" i="3"/>
  <c r="E33" i="3"/>
  <c r="E15" i="3"/>
  <c r="F52" i="3"/>
  <c r="F42" i="3"/>
  <c r="F32" i="3"/>
  <c r="F21" i="3"/>
  <c r="E52" i="3"/>
  <c r="E47" i="3"/>
  <c r="E42" i="3"/>
  <c r="E38" i="3"/>
  <c r="E32" i="3"/>
  <c r="E26" i="3"/>
  <c r="E21" i="3"/>
  <c r="E14" i="3"/>
  <c r="F51" i="3"/>
  <c r="F46" i="3"/>
  <c r="F41" i="3"/>
  <c r="F37" i="3"/>
  <c r="F43" i="3" s="1"/>
  <c r="F25" i="3"/>
  <c r="F28" i="3" s="1"/>
  <c r="F13" i="3"/>
  <c r="F23" i="3"/>
  <c r="E45" i="3"/>
  <c r="E30" i="3"/>
  <c r="AX35" i="3"/>
  <c r="AW12" i="3"/>
  <c r="AW51" i="3"/>
  <c r="AW46" i="3"/>
  <c r="AW41" i="3"/>
  <c r="AW37" i="3"/>
  <c r="AW31" i="3"/>
  <c r="AW25" i="3"/>
  <c r="AW20" i="3"/>
  <c r="AW13" i="3"/>
  <c r="AT12" i="3"/>
  <c r="AT46" i="3"/>
  <c r="AT37" i="3"/>
  <c r="AT25" i="3"/>
  <c r="AT13" i="3"/>
  <c r="AS54" i="3"/>
  <c r="AS45" i="3"/>
  <c r="AS34" i="3"/>
  <c r="AS23" i="3"/>
  <c r="AS11" i="3"/>
  <c r="AP53" i="3"/>
  <c r="AP44" i="3"/>
  <c r="AP33" i="3"/>
  <c r="AP22" i="3"/>
  <c r="AP10" i="3"/>
  <c r="AO52" i="3"/>
  <c r="AO42" i="3"/>
  <c r="AO32" i="3"/>
  <c r="AO21" i="3"/>
  <c r="AL35" i="3"/>
  <c r="AL51" i="3"/>
  <c r="AL41" i="3"/>
  <c r="AL31" i="3"/>
  <c r="AL20" i="3"/>
  <c r="AK27" i="3"/>
  <c r="AK50" i="3"/>
  <c r="AK40" i="3"/>
  <c r="AK30" i="3"/>
  <c r="AK16" i="3"/>
  <c r="AH19" i="3"/>
  <c r="AH48" i="3"/>
  <c r="AH39" i="3"/>
  <c r="AH29" i="3"/>
  <c r="AH15" i="3"/>
  <c r="AE17" i="3"/>
  <c r="AE47" i="3"/>
  <c r="AE38" i="3"/>
  <c r="AE26" i="3"/>
  <c r="AE14" i="3"/>
  <c r="AB12" i="3"/>
  <c r="AB46" i="3"/>
  <c r="AB37" i="3"/>
  <c r="AB25" i="3"/>
  <c r="AB13" i="3"/>
  <c r="AA52" i="3"/>
  <c r="AA47" i="3"/>
  <c r="AA42" i="3"/>
  <c r="AA38" i="3"/>
  <c r="AA32" i="3"/>
  <c r="AA26" i="3"/>
  <c r="AA21" i="3"/>
  <c r="AA14" i="3"/>
  <c r="W27" i="3"/>
  <c r="W50" i="3"/>
  <c r="W40" i="3"/>
  <c r="W30" i="3"/>
  <c r="W16" i="3"/>
  <c r="T19" i="3"/>
  <c r="T48" i="3"/>
  <c r="T39" i="3"/>
  <c r="AW35" i="3"/>
  <c r="AX54" i="3"/>
  <c r="AX50" i="3"/>
  <c r="AX55" i="3" s="1"/>
  <c r="AX45" i="3"/>
  <c r="AX40" i="3"/>
  <c r="AX34" i="3"/>
  <c r="AX30" i="3"/>
  <c r="AX23" i="3"/>
  <c r="AX16" i="3"/>
  <c r="AX11" i="3"/>
  <c r="AT54" i="3"/>
  <c r="AT45" i="3"/>
  <c r="AT34" i="3"/>
  <c r="AT23" i="3"/>
  <c r="AT11" i="3"/>
  <c r="AS53" i="3"/>
  <c r="AS44" i="3"/>
  <c r="AS33" i="3"/>
  <c r="AS22" i="3"/>
  <c r="AS10" i="3"/>
  <c r="AP52" i="3"/>
  <c r="AP42" i="3"/>
  <c r="AP32" i="3"/>
  <c r="AP21" i="3"/>
  <c r="AO35" i="3"/>
  <c r="AO51" i="3"/>
  <c r="AO41" i="3"/>
  <c r="AO31" i="3"/>
  <c r="AO20" i="3"/>
  <c r="AL27" i="3"/>
  <c r="AL50" i="3"/>
  <c r="AL40" i="3"/>
  <c r="AL30" i="3"/>
  <c r="AL16" i="3"/>
  <c r="AK19" i="3"/>
  <c r="AK48" i="3"/>
  <c r="AK39" i="3"/>
  <c r="AK29" i="3"/>
  <c r="AK15" i="3"/>
  <c r="AH17" i="3"/>
  <c r="AH47" i="3"/>
  <c r="AH38" i="3"/>
  <c r="AH26" i="3"/>
  <c r="AH14" i="3"/>
  <c r="AE12" i="3"/>
  <c r="AE46" i="3"/>
  <c r="AE37" i="3"/>
  <c r="AE25" i="3"/>
  <c r="AE13" i="3"/>
  <c r="AB54" i="3"/>
  <c r="AB45" i="3"/>
  <c r="AB34" i="3"/>
  <c r="AB23" i="3"/>
  <c r="AB11" i="3"/>
  <c r="Z52" i="3"/>
  <c r="Z47" i="3"/>
  <c r="Z42" i="3"/>
  <c r="Z38" i="3"/>
  <c r="Z32" i="3"/>
  <c r="Z26" i="3"/>
  <c r="Z21" i="3"/>
  <c r="Z14" i="3"/>
  <c r="W19" i="3"/>
  <c r="W48" i="3"/>
  <c r="W39" i="3"/>
  <c r="W29" i="3"/>
  <c r="W15" i="3"/>
  <c r="T17" i="3"/>
  <c r="U17" i="3" s="1"/>
  <c r="T47" i="3"/>
  <c r="T38" i="3"/>
  <c r="T26" i="3"/>
  <c r="T14" i="3"/>
  <c r="Q46" i="3"/>
  <c r="AX27" i="3"/>
  <c r="AW54" i="3"/>
  <c r="AW50" i="3"/>
  <c r="AW45" i="3"/>
  <c r="AW40" i="3"/>
  <c r="AW34" i="3"/>
  <c r="AW30" i="3"/>
  <c r="AW23" i="3"/>
  <c r="AW16" i="3"/>
  <c r="AW11" i="3"/>
  <c r="AT53" i="3"/>
  <c r="AT44" i="3"/>
  <c r="AT33" i="3"/>
  <c r="AT22" i="3"/>
  <c r="AT10" i="3"/>
  <c r="AS52" i="3"/>
  <c r="AS42" i="3"/>
  <c r="AS32" i="3"/>
  <c r="AS21" i="3"/>
  <c r="AP35" i="3"/>
  <c r="AP51" i="3"/>
  <c r="AP41" i="3"/>
  <c r="AP31" i="3"/>
  <c r="AP20" i="3"/>
  <c r="AO27" i="3"/>
  <c r="AO50" i="3"/>
  <c r="AO40" i="3"/>
  <c r="AO30" i="3"/>
  <c r="AO16" i="3"/>
  <c r="AL19" i="3"/>
  <c r="AL48" i="3"/>
  <c r="AL39" i="3"/>
  <c r="AL29" i="3"/>
  <c r="AL15" i="3"/>
  <c r="AK17" i="3"/>
  <c r="AK47" i="3"/>
  <c r="AK38" i="3"/>
  <c r="AK26" i="3"/>
  <c r="AK14" i="3"/>
  <c r="AH12" i="3"/>
  <c r="AH46" i="3"/>
  <c r="AH37" i="3"/>
  <c r="AH25" i="3"/>
  <c r="AH13" i="3"/>
  <c r="AE54" i="3"/>
  <c r="AE45" i="3"/>
  <c r="AE34" i="3"/>
  <c r="AE23" i="3"/>
  <c r="AE11" i="3"/>
  <c r="AB53" i="3"/>
  <c r="AB44" i="3"/>
  <c r="AB33" i="3"/>
  <c r="AB22" i="3"/>
  <c r="AB10" i="3"/>
  <c r="AA51" i="3"/>
  <c r="AA46" i="3"/>
  <c r="AA41" i="3"/>
  <c r="AA37" i="3"/>
  <c r="AA43" i="3" s="1"/>
  <c r="AA31" i="3"/>
  <c r="AA25" i="3"/>
  <c r="AA28" i="3" s="1"/>
  <c r="AA20" i="3"/>
  <c r="AA13" i="3"/>
  <c r="W17" i="3"/>
  <c r="W47" i="3"/>
  <c r="W38" i="3"/>
  <c r="W26" i="3"/>
  <c r="W14" i="3"/>
  <c r="T12" i="3"/>
  <c r="T46" i="3"/>
  <c r="T37" i="3"/>
  <c r="T25" i="3"/>
  <c r="AW27" i="3"/>
  <c r="AX53" i="3"/>
  <c r="AX48" i="3"/>
  <c r="AX44" i="3"/>
  <c r="AX49" i="3" s="1"/>
  <c r="AX39" i="3"/>
  <c r="AX33" i="3"/>
  <c r="AX29" i="3"/>
  <c r="AX36" i="3" s="1"/>
  <c r="AX22" i="3"/>
  <c r="AX15" i="3"/>
  <c r="AW10" i="3"/>
  <c r="AT52" i="3"/>
  <c r="AT42" i="3"/>
  <c r="AT32" i="3"/>
  <c r="AT21" i="3"/>
  <c r="AS35" i="3"/>
  <c r="AS51" i="3"/>
  <c r="AS41" i="3"/>
  <c r="AS31" i="3"/>
  <c r="AS20" i="3"/>
  <c r="AP27" i="3"/>
  <c r="AP50" i="3"/>
  <c r="AP40" i="3"/>
  <c r="AP30" i="3"/>
  <c r="AP16" i="3"/>
  <c r="AO19" i="3"/>
  <c r="AO48" i="3"/>
  <c r="AO39" i="3"/>
  <c r="AO29" i="3"/>
  <c r="AO15" i="3"/>
  <c r="AL17" i="3"/>
  <c r="AL47" i="3"/>
  <c r="AL38" i="3"/>
  <c r="AL26" i="3"/>
  <c r="AL14" i="3"/>
  <c r="AK12" i="3"/>
  <c r="AK46" i="3"/>
  <c r="AK37" i="3"/>
  <c r="AK25" i="3"/>
  <c r="AK13" i="3"/>
  <c r="AH54" i="3"/>
  <c r="AH45" i="3"/>
  <c r="AH34" i="3"/>
  <c r="AH23" i="3"/>
  <c r="AH11" i="3"/>
  <c r="AE53" i="3"/>
  <c r="AE44" i="3"/>
  <c r="AE33" i="3"/>
  <c r="AE22" i="3"/>
  <c r="AE10" i="3"/>
  <c r="AB52" i="3"/>
  <c r="AB42" i="3"/>
  <c r="AB32" i="3"/>
  <c r="AB21" i="3"/>
  <c r="Z51" i="3"/>
  <c r="Z46" i="3"/>
  <c r="Z41" i="3"/>
  <c r="Z37" i="3"/>
  <c r="Z31" i="3"/>
  <c r="Z25" i="3"/>
  <c r="Z20" i="3"/>
  <c r="Z13" i="3"/>
  <c r="W12" i="3"/>
  <c r="W46" i="3"/>
  <c r="W37" i="3"/>
  <c r="W25" i="3"/>
  <c r="W13" i="3"/>
  <c r="T54" i="3"/>
  <c r="T45" i="3"/>
  <c r="AX19" i="3"/>
  <c r="AX24" i="3" s="1"/>
  <c r="AW53" i="3"/>
  <c r="AW48" i="3"/>
  <c r="AW44" i="3"/>
  <c r="AW39" i="3"/>
  <c r="AW33" i="3"/>
  <c r="AW29" i="3"/>
  <c r="AW22" i="3"/>
  <c r="AW15" i="3"/>
  <c r="AT35" i="3"/>
  <c r="AT51" i="3"/>
  <c r="AT41" i="3"/>
  <c r="AT31" i="3"/>
  <c r="AT20" i="3"/>
  <c r="AS27" i="3"/>
  <c r="AS50" i="3"/>
  <c r="AS40" i="3"/>
  <c r="AS30" i="3"/>
  <c r="AS16" i="3"/>
  <c r="AP19" i="3"/>
  <c r="AP48" i="3"/>
  <c r="AP39" i="3"/>
  <c r="AP29" i="3"/>
  <c r="AP15" i="3"/>
  <c r="AO17" i="3"/>
  <c r="AO47" i="3"/>
  <c r="AO38" i="3"/>
  <c r="AO26" i="3"/>
  <c r="AO14" i="3"/>
  <c r="AL12" i="3"/>
  <c r="AL46" i="3"/>
  <c r="AL37" i="3"/>
  <c r="AL25" i="3"/>
  <c r="AL13" i="3"/>
  <c r="AK54" i="3"/>
  <c r="AK45" i="3"/>
  <c r="AK34" i="3"/>
  <c r="AK23" i="3"/>
  <c r="AK11" i="3"/>
  <c r="AH53" i="3"/>
  <c r="AH44" i="3"/>
  <c r="AH33" i="3"/>
  <c r="AH22" i="3"/>
  <c r="AH10" i="3"/>
  <c r="AE52" i="3"/>
  <c r="AE42" i="3"/>
  <c r="AE32" i="3"/>
  <c r="AE21" i="3"/>
  <c r="AB35" i="3"/>
  <c r="AB51" i="3"/>
  <c r="AB41" i="3"/>
  <c r="AB31" i="3"/>
  <c r="AB20" i="3"/>
  <c r="AA54" i="3"/>
  <c r="AA50" i="3"/>
  <c r="AA55" i="3" s="1"/>
  <c r="AA45" i="3"/>
  <c r="AA40" i="3"/>
  <c r="AA34" i="3"/>
  <c r="AA30" i="3"/>
  <c r="AA23" i="3"/>
  <c r="AA16" i="3"/>
  <c r="AA11" i="3"/>
  <c r="W54" i="3"/>
  <c r="W45" i="3"/>
  <c r="W34" i="3"/>
  <c r="W23" i="3"/>
  <c r="W11" i="3"/>
  <c r="T53" i="3"/>
  <c r="T44" i="3"/>
  <c r="T33" i="3"/>
  <c r="T22" i="3"/>
  <c r="T10" i="3"/>
  <c r="Q52" i="3"/>
  <c r="Q42" i="3"/>
  <c r="Q32" i="3"/>
  <c r="Q21" i="3"/>
  <c r="P35" i="3"/>
  <c r="P51" i="3"/>
  <c r="P41" i="3"/>
  <c r="P31" i="3"/>
  <c r="P20" i="3"/>
  <c r="M27" i="3"/>
  <c r="M50" i="3"/>
  <c r="AW19" i="3"/>
  <c r="AX52" i="3"/>
  <c r="AX47" i="3"/>
  <c r="AX42" i="3"/>
  <c r="AX38" i="3"/>
  <c r="AX32" i="3"/>
  <c r="AX26" i="3"/>
  <c r="AX21" i="3"/>
  <c r="AX14" i="3"/>
  <c r="AT27" i="3"/>
  <c r="AT50" i="3"/>
  <c r="AT40" i="3"/>
  <c r="AT30" i="3"/>
  <c r="AT16" i="3"/>
  <c r="AS19" i="3"/>
  <c r="AS48" i="3"/>
  <c r="AS39" i="3"/>
  <c r="AS29" i="3"/>
  <c r="AS15" i="3"/>
  <c r="AP17" i="3"/>
  <c r="AP47" i="3"/>
  <c r="AP38" i="3"/>
  <c r="AP26" i="3"/>
  <c r="AP14" i="3"/>
  <c r="AO12" i="3"/>
  <c r="AO46" i="3"/>
  <c r="AO37" i="3"/>
  <c r="AO25" i="3"/>
  <c r="AO13" i="3"/>
  <c r="AL54" i="3"/>
  <c r="AL45" i="3"/>
  <c r="AL34" i="3"/>
  <c r="AL23" i="3"/>
  <c r="AL11" i="3"/>
  <c r="AK53" i="3"/>
  <c r="AK44" i="3"/>
  <c r="AK33" i="3"/>
  <c r="AK22" i="3"/>
  <c r="AK10" i="3"/>
  <c r="AH52" i="3"/>
  <c r="AH42" i="3"/>
  <c r="AH32" i="3"/>
  <c r="AH21" i="3"/>
  <c r="AE35" i="3"/>
  <c r="AE51" i="3"/>
  <c r="AE41" i="3"/>
  <c r="AE31" i="3"/>
  <c r="AE20" i="3"/>
  <c r="AB27" i="3"/>
  <c r="AB50" i="3"/>
  <c r="AB40" i="3"/>
  <c r="AB30" i="3"/>
  <c r="AB16" i="3"/>
  <c r="Z54" i="3"/>
  <c r="Z50" i="3"/>
  <c r="Z45" i="3"/>
  <c r="Z40" i="3"/>
  <c r="Z34" i="3"/>
  <c r="Z30" i="3"/>
  <c r="Z23" i="3"/>
  <c r="Z16" i="3"/>
  <c r="Z11" i="3"/>
  <c r="W53" i="3"/>
  <c r="W44" i="3"/>
  <c r="W33" i="3"/>
  <c r="W22" i="3"/>
  <c r="W10" i="3"/>
  <c r="T52" i="3"/>
  <c r="T42" i="3"/>
  <c r="T32" i="3"/>
  <c r="T21" i="3"/>
  <c r="Q51" i="3"/>
  <c r="Q41" i="3"/>
  <c r="Q31" i="3"/>
  <c r="Q20" i="3"/>
  <c r="P27" i="3"/>
  <c r="P50" i="3"/>
  <c r="P40" i="3"/>
  <c r="P30" i="3"/>
  <c r="P16" i="3"/>
  <c r="M19" i="3"/>
  <c r="M48" i="3"/>
  <c r="M39" i="3"/>
  <c r="AX17" i="3"/>
  <c r="AW38" i="3"/>
  <c r="AW14" i="3"/>
  <c r="AT29" i="3"/>
  <c r="AS38" i="3"/>
  <c r="AP46" i="3"/>
  <c r="AO54" i="3"/>
  <c r="AO11" i="3"/>
  <c r="AL22" i="3"/>
  <c r="AK32" i="3"/>
  <c r="AH41" i="3"/>
  <c r="AE50" i="3"/>
  <c r="AB19" i="3"/>
  <c r="AB15" i="3"/>
  <c r="AA44" i="3"/>
  <c r="AA49" i="3" s="1"/>
  <c r="AA22" i="3"/>
  <c r="W42" i="3"/>
  <c r="T51" i="3"/>
  <c r="T23" i="3"/>
  <c r="Q40" i="3"/>
  <c r="Q26" i="3"/>
  <c r="Q11" i="3"/>
  <c r="P48" i="3"/>
  <c r="P37" i="3"/>
  <c r="P22" i="3"/>
  <c r="M17" i="3"/>
  <c r="M45" i="3"/>
  <c r="M33" i="3"/>
  <c r="M22" i="3"/>
  <c r="M10" i="3"/>
  <c r="L52" i="3"/>
  <c r="L42" i="3"/>
  <c r="L32" i="3"/>
  <c r="L21" i="3"/>
  <c r="I35" i="3"/>
  <c r="I38" i="3"/>
  <c r="I14" i="3"/>
  <c r="H40" i="3"/>
  <c r="G48" i="3"/>
  <c r="G29" i="3"/>
  <c r="H15" i="3"/>
  <c r="G47" i="3"/>
  <c r="G14" i="3"/>
  <c r="P26" i="3"/>
  <c r="M26" i="3"/>
  <c r="L13" i="3"/>
  <c r="H53" i="3"/>
  <c r="G42" i="3"/>
  <c r="AS47" i="3"/>
  <c r="AO23" i="3"/>
  <c r="AE16" i="3"/>
  <c r="T30" i="3"/>
  <c r="P25" i="3"/>
  <c r="L45" i="3"/>
  <c r="I40" i="3"/>
  <c r="H21" i="3"/>
  <c r="G20" i="3"/>
  <c r="AW17" i="3"/>
  <c r="AX37" i="3"/>
  <c r="AX43" i="3" s="1"/>
  <c r="AX13" i="3"/>
  <c r="AT26" i="3"/>
  <c r="AS37" i="3"/>
  <c r="AP45" i="3"/>
  <c r="AO53" i="3"/>
  <c r="AO10" i="3"/>
  <c r="AL21" i="3"/>
  <c r="AK31" i="3"/>
  <c r="AH40" i="3"/>
  <c r="AE48" i="3"/>
  <c r="AB17" i="3"/>
  <c r="AB14" i="3"/>
  <c r="Z44" i="3"/>
  <c r="Z22" i="3"/>
  <c r="W41" i="3"/>
  <c r="T50" i="3"/>
  <c r="T20" i="3"/>
  <c r="Q54" i="3"/>
  <c r="Q39" i="3"/>
  <c r="Q25" i="3"/>
  <c r="Q10" i="3"/>
  <c r="P47" i="3"/>
  <c r="P34" i="3"/>
  <c r="P21" i="3"/>
  <c r="M12" i="3"/>
  <c r="M44" i="3"/>
  <c r="M32" i="3"/>
  <c r="M21" i="3"/>
  <c r="L35" i="3"/>
  <c r="L51" i="3"/>
  <c r="L41" i="3"/>
  <c r="L31" i="3"/>
  <c r="L20" i="3"/>
  <c r="I27" i="3"/>
  <c r="I46" i="3"/>
  <c r="I37" i="3"/>
  <c r="I25" i="3"/>
  <c r="I13" i="3"/>
  <c r="H48" i="3"/>
  <c r="H29" i="3"/>
  <c r="G38" i="3"/>
  <c r="Q33" i="3"/>
  <c r="M14" i="3"/>
  <c r="I51" i="3"/>
  <c r="H33" i="3"/>
  <c r="AW42" i="3"/>
  <c r="AL33" i="3"/>
  <c r="AA48" i="3"/>
  <c r="Q45" i="3"/>
  <c r="M47" i="3"/>
  <c r="L34" i="3"/>
  <c r="I16" i="3"/>
  <c r="G51" i="3"/>
  <c r="AW52" i="3"/>
  <c r="AW32" i="3"/>
  <c r="AT19" i="3"/>
  <c r="AT15" i="3"/>
  <c r="AS26" i="3"/>
  <c r="AP37" i="3"/>
  <c r="AO45" i="3"/>
  <c r="AL53" i="3"/>
  <c r="AL10" i="3"/>
  <c r="AK21" i="3"/>
  <c r="AH31" i="3"/>
  <c r="AE40" i="3"/>
  <c r="AB48" i="3"/>
  <c r="AA39" i="3"/>
  <c r="AA15" i="3"/>
  <c r="W32" i="3"/>
  <c r="T41" i="3"/>
  <c r="T16" i="3"/>
  <c r="Q53" i="3"/>
  <c r="Q38" i="3"/>
  <c r="Q23" i="3"/>
  <c r="P19" i="3"/>
  <c r="P46" i="3"/>
  <c r="P33" i="3"/>
  <c r="P15" i="3"/>
  <c r="M54" i="3"/>
  <c r="M42" i="3"/>
  <c r="M31" i="3"/>
  <c r="M20" i="3"/>
  <c r="L27" i="3"/>
  <c r="L50" i="3"/>
  <c r="L40" i="3"/>
  <c r="L30" i="3"/>
  <c r="L16" i="3"/>
  <c r="I19" i="3"/>
  <c r="I54" i="3"/>
  <c r="I45" i="3"/>
  <c r="I34" i="3"/>
  <c r="I23" i="3"/>
  <c r="I11" i="3"/>
  <c r="H47" i="3"/>
  <c r="H38" i="3"/>
  <c r="H14" i="3"/>
  <c r="G46" i="3"/>
  <c r="G37" i="3"/>
  <c r="G25" i="3"/>
  <c r="G13" i="3"/>
  <c r="AS13" i="3"/>
  <c r="Z53" i="3"/>
  <c r="W20" i="3"/>
  <c r="Q47" i="3"/>
  <c r="P11" i="3"/>
  <c r="L37" i="3"/>
  <c r="I20" i="3"/>
  <c r="G52" i="3"/>
  <c r="AP12" i="3"/>
  <c r="W52" i="3"/>
  <c r="P53" i="3"/>
  <c r="M25" i="3"/>
  <c r="L11" i="3"/>
  <c r="H42" i="3"/>
  <c r="AX51" i="3"/>
  <c r="AX31" i="3"/>
  <c r="AT17" i="3"/>
  <c r="AT14" i="3"/>
  <c r="AS25" i="3"/>
  <c r="AP34" i="3"/>
  <c r="AO44" i="3"/>
  <c r="AL52" i="3"/>
  <c r="AK35" i="3"/>
  <c r="AK20" i="3"/>
  <c r="AH30" i="3"/>
  <c r="AE39" i="3"/>
  <c r="AB47" i="3"/>
  <c r="Z39" i="3"/>
  <c r="Z15" i="3"/>
  <c r="W31" i="3"/>
  <c r="T40" i="3"/>
  <c r="T15" i="3"/>
  <c r="Q50" i="3"/>
  <c r="Q37" i="3"/>
  <c r="Q22" i="3"/>
  <c r="P17" i="3"/>
  <c r="P45" i="3"/>
  <c r="P32" i="3"/>
  <c r="P14" i="3"/>
  <c r="M53" i="3"/>
  <c r="M41" i="3"/>
  <c r="M30" i="3"/>
  <c r="M16" i="3"/>
  <c r="L19" i="3"/>
  <c r="L48" i="3"/>
  <c r="L39" i="3"/>
  <c r="L29" i="3"/>
  <c r="L15" i="3"/>
  <c r="I17" i="3"/>
  <c r="I53" i="3"/>
  <c r="I44" i="3"/>
  <c r="I33" i="3"/>
  <c r="I22" i="3"/>
  <c r="I10" i="3"/>
  <c r="H46" i="3"/>
  <c r="H37" i="3"/>
  <c r="H25" i="3"/>
  <c r="H13" i="3"/>
  <c r="G54" i="3"/>
  <c r="G45" i="3"/>
  <c r="G34" i="3"/>
  <c r="G23" i="3"/>
  <c r="G11" i="3"/>
  <c r="AX25" i="3"/>
  <c r="AX28" i="3" s="1"/>
  <c r="AS12" i="3"/>
  <c r="AP23" i="3"/>
  <c r="AL42" i="3"/>
  <c r="AH27" i="3"/>
  <c r="AE29" i="3"/>
  <c r="W35" i="3"/>
  <c r="T11" i="3"/>
  <c r="P54" i="3"/>
  <c r="M38" i="3"/>
  <c r="L25" i="3"/>
  <c r="I31" i="3"/>
  <c r="H10" i="3"/>
  <c r="AW21" i="3"/>
  <c r="AH51" i="3"/>
  <c r="AA29" i="3"/>
  <c r="AA36" i="3" s="1"/>
  <c r="Q14" i="3"/>
  <c r="M37" i="3"/>
  <c r="L23" i="3"/>
  <c r="H52" i="3"/>
  <c r="G41" i="3"/>
  <c r="AW47" i="3"/>
  <c r="AW26" i="3"/>
  <c r="AT48" i="3"/>
  <c r="AS17" i="3"/>
  <c r="AS14" i="3"/>
  <c r="AP25" i="3"/>
  <c r="AO34" i="3"/>
  <c r="AL44" i="3"/>
  <c r="AK52" i="3"/>
  <c r="AH35" i="3"/>
  <c r="AH20" i="3"/>
  <c r="AE30" i="3"/>
  <c r="AB39" i="3"/>
  <c r="AA53" i="3"/>
  <c r="AA33" i="3"/>
  <c r="Z10" i="3"/>
  <c r="W21" i="3"/>
  <c r="T34" i="3"/>
  <c r="T13" i="3"/>
  <c r="Q48" i="3"/>
  <c r="Q34" i="3"/>
  <c r="Q16" i="3"/>
  <c r="P12" i="3"/>
  <c r="P44" i="3"/>
  <c r="P29" i="3"/>
  <c r="P13" i="3"/>
  <c r="M52" i="3"/>
  <c r="M40" i="3"/>
  <c r="M29" i="3"/>
  <c r="M15" i="3"/>
  <c r="L17" i="3"/>
  <c r="L47" i="3"/>
  <c r="L38" i="3"/>
  <c r="L26" i="3"/>
  <c r="L14" i="3"/>
  <c r="I12" i="3"/>
  <c r="I52" i="3"/>
  <c r="I42" i="3"/>
  <c r="I32" i="3"/>
  <c r="I21" i="3"/>
  <c r="H54" i="3"/>
  <c r="H45" i="3"/>
  <c r="H34" i="3"/>
  <c r="H23" i="3"/>
  <c r="H11" i="3"/>
  <c r="G53" i="3"/>
  <c r="G44" i="3"/>
  <c r="G33" i="3"/>
  <c r="G22" i="3"/>
  <c r="G10" i="3"/>
  <c r="AX46" i="3"/>
  <c r="AT47" i="3"/>
  <c r="AO33" i="3"/>
  <c r="AK51" i="3"/>
  <c r="AH16" i="3"/>
  <c r="AB38" i="3"/>
  <c r="Z33" i="3"/>
  <c r="T31" i="3"/>
  <c r="Q15" i="3"/>
  <c r="M51" i="3"/>
  <c r="L12" i="3"/>
  <c r="H44" i="3"/>
  <c r="G32" i="3"/>
  <c r="AT39" i="3"/>
  <c r="AE27" i="3"/>
  <c r="T35" i="3"/>
  <c r="Q30" i="3"/>
  <c r="P10" i="3"/>
  <c r="L54" i="3"/>
  <c r="I30" i="3"/>
  <c r="AX41" i="3"/>
  <c r="AX20" i="3"/>
  <c r="AT38" i="3"/>
  <c r="AS46" i="3"/>
  <c r="AP54" i="3"/>
  <c r="AP11" i="3"/>
  <c r="AO22" i="3"/>
  <c r="AL32" i="3"/>
  <c r="AK41" i="3"/>
  <c r="AH50" i="3"/>
  <c r="AE19" i="3"/>
  <c r="AE15" i="3"/>
  <c r="AB26" i="3"/>
  <c r="Z48" i="3"/>
  <c r="Z29" i="3"/>
  <c r="W51" i="3"/>
  <c r="T27" i="3"/>
  <c r="T29" i="3"/>
  <c r="Q44" i="3"/>
  <c r="Q29" i="3"/>
  <c r="Q13" i="3"/>
  <c r="P52" i="3"/>
  <c r="P38" i="3"/>
  <c r="P23" i="3"/>
  <c r="M35" i="3"/>
  <c r="M46" i="3"/>
  <c r="M34" i="3"/>
  <c r="M23" i="3"/>
  <c r="M11" i="3"/>
  <c r="L53" i="3"/>
  <c r="L44" i="3"/>
  <c r="L33" i="3"/>
  <c r="L22" i="3"/>
  <c r="L10" i="3"/>
  <c r="I48" i="3"/>
  <c r="I39" i="3"/>
  <c r="I29" i="3"/>
  <c r="I15" i="3"/>
  <c r="H51" i="3"/>
  <c r="H41" i="3"/>
  <c r="H31" i="3"/>
  <c r="H20" i="3"/>
  <c r="G50" i="3"/>
  <c r="G40" i="3"/>
  <c r="G30" i="3"/>
  <c r="G16" i="3"/>
  <c r="I47" i="3"/>
  <c r="I26" i="3"/>
  <c r="H50" i="3"/>
  <c r="H30" i="3"/>
  <c r="H16" i="3"/>
  <c r="G39" i="3"/>
  <c r="G15" i="3"/>
  <c r="H39" i="3"/>
  <c r="G26" i="3"/>
  <c r="P42" i="3"/>
  <c r="L46" i="3"/>
  <c r="I41" i="3"/>
  <c r="H22" i="3"/>
  <c r="G21" i="3"/>
  <c r="AP13" i="3"/>
  <c r="AK42" i="3"/>
  <c r="AB29" i="3"/>
  <c r="P39" i="3"/>
  <c r="M13" i="3"/>
  <c r="I50" i="3"/>
  <c r="H32" i="3"/>
  <c r="G31" i="3"/>
  <c r="Q11" i="9"/>
  <c r="L11" i="9"/>
  <c r="W11" i="9"/>
  <c r="P11" i="9"/>
  <c r="I11" i="9"/>
  <c r="T11" i="9"/>
  <c r="M11" i="9"/>
  <c r="X11" i="9"/>
  <c r="G11" i="9"/>
  <c r="AZ35" i="3"/>
  <c r="AZ51" i="3"/>
  <c r="AZ41" i="3"/>
  <c r="AZ31" i="3"/>
  <c r="AZ20" i="3"/>
  <c r="AY19" i="3"/>
  <c r="AY48" i="3"/>
  <c r="AY39" i="3"/>
  <c r="AZ27" i="3"/>
  <c r="AZ50" i="3"/>
  <c r="AZ40" i="3"/>
  <c r="AZ30" i="3"/>
  <c r="AZ16" i="3"/>
  <c r="AY17" i="3"/>
  <c r="AY47" i="3"/>
  <c r="AY38" i="3"/>
  <c r="AY26" i="3"/>
  <c r="AY14" i="3"/>
  <c r="AZ39" i="3"/>
  <c r="AZ15" i="3"/>
  <c r="AY46" i="3"/>
  <c r="AY25" i="3"/>
  <c r="AZ21" i="3"/>
  <c r="AY16" i="3"/>
  <c r="AZ19" i="3"/>
  <c r="AZ48" i="3"/>
  <c r="AZ29" i="3"/>
  <c r="AY12" i="3"/>
  <c r="AY37" i="3"/>
  <c r="AY13" i="3"/>
  <c r="AY30" i="3"/>
  <c r="AZ17" i="3"/>
  <c r="AZ47" i="3"/>
  <c r="AZ38" i="3"/>
  <c r="AZ26" i="3"/>
  <c r="AZ14" i="3"/>
  <c r="AY54" i="3"/>
  <c r="AY45" i="3"/>
  <c r="AY34" i="3"/>
  <c r="AY23" i="3"/>
  <c r="AY11" i="3"/>
  <c r="AZ33" i="3"/>
  <c r="AY51" i="3"/>
  <c r="AY20" i="3"/>
  <c r="AZ32" i="3"/>
  <c r="AY40" i="3"/>
  <c r="AY15" i="3"/>
  <c r="AZ12" i="3"/>
  <c r="AZ46" i="3"/>
  <c r="AZ37" i="3"/>
  <c r="AZ25" i="3"/>
  <c r="AZ13" i="3"/>
  <c r="AY53" i="3"/>
  <c r="AY44" i="3"/>
  <c r="AY33" i="3"/>
  <c r="AY22" i="3"/>
  <c r="AY10" i="3"/>
  <c r="AZ22" i="3"/>
  <c r="AY41" i="3"/>
  <c r="AZ52" i="3"/>
  <c r="AY27" i="3"/>
  <c r="AY29" i="3"/>
  <c r="AZ54" i="3"/>
  <c r="AZ45" i="3"/>
  <c r="AZ34" i="3"/>
  <c r="AZ23" i="3"/>
  <c r="AZ11" i="3"/>
  <c r="AY52" i="3"/>
  <c r="AY42" i="3"/>
  <c r="AY32" i="3"/>
  <c r="AY21" i="3"/>
  <c r="AZ10" i="3"/>
  <c r="AZ53" i="3"/>
  <c r="AZ44" i="3"/>
  <c r="AY35" i="3"/>
  <c r="AY31" i="3"/>
  <c r="AZ42" i="3"/>
  <c r="AY50" i="3"/>
  <c r="AA12" i="3"/>
  <c r="AA10" i="3"/>
  <c r="AA18" i="3" s="1"/>
  <c r="AX12" i="3"/>
  <c r="H11" i="9"/>
  <c r="H9" i="9"/>
  <c r="R8" i="9"/>
  <c r="Q8" i="9"/>
  <c r="U8" i="9" s="1"/>
  <c r="I2" i="4"/>
  <c r="D52" i="18" l="1"/>
  <c r="G47" i="18"/>
  <c r="G52" i="18" s="1"/>
  <c r="D46" i="21"/>
  <c r="D46" i="18"/>
  <c r="G40" i="18"/>
  <c r="G46" i="18" s="1"/>
  <c r="G28" i="18"/>
  <c r="G31" i="18" s="1"/>
  <c r="D31" i="18"/>
  <c r="D21" i="20"/>
  <c r="D21" i="21"/>
  <c r="D27" i="19"/>
  <c r="D58" i="21"/>
  <c r="D31" i="20"/>
  <c r="G32" i="18"/>
  <c r="G39" i="18" s="1"/>
  <c r="D39" i="18"/>
  <c r="D27" i="20"/>
  <c r="D27" i="21"/>
  <c r="D52" i="16"/>
  <c r="D21" i="18"/>
  <c r="G13" i="18"/>
  <c r="G21" i="18" s="1"/>
  <c r="D46" i="19"/>
  <c r="D58" i="18"/>
  <c r="G53" i="18"/>
  <c r="G58" i="18" s="1"/>
  <c r="D58" i="20"/>
  <c r="D52" i="19"/>
  <c r="D58" i="19"/>
  <c r="D39" i="20"/>
  <c r="D39" i="21"/>
  <c r="G22" i="18"/>
  <c r="G27" i="18" s="1"/>
  <c r="D27" i="18"/>
  <c r="D46" i="20"/>
  <c r="D52" i="20"/>
  <c r="D31" i="16"/>
  <c r="D21" i="16"/>
  <c r="D39" i="16"/>
  <c r="D46" i="16"/>
  <c r="D27" i="16"/>
  <c r="D58" i="16"/>
  <c r="I15" i="14"/>
  <c r="G52" i="14"/>
  <c r="I20" i="14"/>
  <c r="G58" i="14"/>
  <c r="I22" i="14"/>
  <c r="D58" i="14"/>
  <c r="G21" i="14"/>
  <c r="I35" i="14"/>
  <c r="F46" i="14"/>
  <c r="I25" i="14"/>
  <c r="I50" i="14"/>
  <c r="I19" i="14"/>
  <c r="I36" i="14"/>
  <c r="M56" i="14"/>
  <c r="I56" i="14"/>
  <c r="I29" i="14"/>
  <c r="D31" i="14"/>
  <c r="D27" i="14"/>
  <c r="I26" i="14"/>
  <c r="I45" i="14"/>
  <c r="M45" i="14"/>
  <c r="I57" i="14"/>
  <c r="M57" i="14"/>
  <c r="I24" i="14"/>
  <c r="I18" i="14"/>
  <c r="M51" i="14"/>
  <c r="I51" i="14"/>
  <c r="I43" i="14"/>
  <c r="G31" i="14"/>
  <c r="M22" i="14"/>
  <c r="F21" i="14"/>
  <c r="I23" i="14"/>
  <c r="M23" i="14"/>
  <c r="I33" i="14"/>
  <c r="I48" i="14"/>
  <c r="I14" i="14"/>
  <c r="D46" i="14"/>
  <c r="F58" i="14"/>
  <c r="D21" i="14"/>
  <c r="M15" i="14"/>
  <c r="G27" i="14"/>
  <c r="I30" i="14"/>
  <c r="I44" i="14"/>
  <c r="M44" i="14"/>
  <c r="F39" i="14"/>
  <c r="I37" i="14"/>
  <c r="I34" i="14"/>
  <c r="M20" i="14"/>
  <c r="I17" i="14"/>
  <c r="F52" i="14"/>
  <c r="I38" i="14"/>
  <c r="I42" i="14"/>
  <c r="M42" i="14"/>
  <c r="I49" i="14"/>
  <c r="G39" i="14"/>
  <c r="D39" i="14"/>
  <c r="I54" i="14"/>
  <c r="M54" i="14"/>
  <c r="F27" i="14"/>
  <c r="I41" i="14"/>
  <c r="M55" i="14"/>
  <c r="I55" i="14"/>
  <c r="G46" i="14"/>
  <c r="I16" i="14"/>
  <c r="D52" i="14"/>
  <c r="F31" i="14"/>
  <c r="M22" i="10"/>
  <c r="N22" i="10"/>
  <c r="E24" i="3"/>
  <c r="E28" i="3"/>
  <c r="N35" i="3"/>
  <c r="Z9" i="9"/>
  <c r="O9" i="9"/>
  <c r="V9" i="9"/>
  <c r="S9" i="9"/>
  <c r="K9" i="9"/>
  <c r="T9" i="9"/>
  <c r="I9" i="9"/>
  <c r="X9" i="9"/>
  <c r="G9" i="9"/>
  <c r="L9" i="9"/>
  <c r="M9" i="9"/>
  <c r="P9" i="9"/>
  <c r="W9" i="9"/>
  <c r="Q9" i="9"/>
  <c r="Z28" i="3"/>
  <c r="F24" i="3"/>
  <c r="U23" i="3"/>
  <c r="AW18" i="3"/>
  <c r="E18" i="3"/>
  <c r="Z24" i="3"/>
  <c r="AW36" i="3"/>
  <c r="Z43" i="3"/>
  <c r="AW28" i="3"/>
  <c r="E43" i="3"/>
  <c r="AW24" i="3"/>
  <c r="AW49" i="3"/>
  <c r="AQ33" i="3"/>
  <c r="AW43" i="3"/>
  <c r="E36" i="3"/>
  <c r="Z49" i="3"/>
  <c r="Z55" i="3"/>
  <c r="E55" i="3"/>
  <c r="E49" i="3"/>
  <c r="Z36" i="3"/>
  <c r="Z18" i="3"/>
  <c r="AW55" i="3"/>
  <c r="AQ37" i="3"/>
  <c r="M26" i="10"/>
  <c r="E26" i="10"/>
  <c r="I25" i="10"/>
  <c r="M24" i="10"/>
  <c r="E24" i="10"/>
  <c r="I23" i="10"/>
  <c r="E22" i="10"/>
  <c r="L26" i="10"/>
  <c r="P25" i="10"/>
  <c r="H25" i="10"/>
  <c r="L24" i="10"/>
  <c r="P23" i="10"/>
  <c r="H23" i="10"/>
  <c r="L22" i="10"/>
  <c r="D26" i="10"/>
  <c r="G26" i="10"/>
  <c r="G24" i="10"/>
  <c r="G22" i="10"/>
  <c r="J25" i="10"/>
  <c r="K26" i="10"/>
  <c r="O25" i="10"/>
  <c r="G25" i="10"/>
  <c r="K24" i="10"/>
  <c r="O23" i="10"/>
  <c r="G23" i="10"/>
  <c r="K22" i="10"/>
  <c r="D25" i="10"/>
  <c r="I26" i="10"/>
  <c r="I24" i="10"/>
  <c r="E23" i="10"/>
  <c r="D23" i="10"/>
  <c r="H26" i="10"/>
  <c r="P24" i="10"/>
  <c r="L23" i="10"/>
  <c r="H22" i="10"/>
  <c r="O26" i="10"/>
  <c r="O24" i="10"/>
  <c r="O22" i="10"/>
  <c r="F26" i="10"/>
  <c r="F24" i="10"/>
  <c r="F22" i="10"/>
  <c r="J26" i="10"/>
  <c r="N25" i="10"/>
  <c r="F25" i="10"/>
  <c r="J24" i="10"/>
  <c r="N23" i="10"/>
  <c r="F23" i="10"/>
  <c r="J22" i="10"/>
  <c r="D24" i="10"/>
  <c r="M25" i="10"/>
  <c r="E25" i="10"/>
  <c r="M23" i="10"/>
  <c r="I22" i="10"/>
  <c r="P26" i="10"/>
  <c r="L25" i="10"/>
  <c r="H24" i="10"/>
  <c r="P22" i="10"/>
  <c r="D22" i="10"/>
  <c r="K25" i="10"/>
  <c r="K23" i="10"/>
  <c r="N26" i="10"/>
  <c r="N24" i="10"/>
  <c r="J23" i="10"/>
  <c r="X38" i="3"/>
  <c r="X40" i="3"/>
  <c r="N48" i="3"/>
  <c r="U52" i="3"/>
  <c r="AT24" i="3"/>
  <c r="AQ10" i="3"/>
  <c r="AQ17" i="3"/>
  <c r="R19" i="3"/>
  <c r="BA17" i="3"/>
  <c r="AC17" i="3"/>
  <c r="AM17" i="3"/>
  <c r="U33" i="3"/>
  <c r="N19" i="3"/>
  <c r="R11" i="9"/>
  <c r="N17" i="3"/>
  <c r="AQ19" i="3"/>
  <c r="AC12" i="3"/>
  <c r="U21" i="3"/>
  <c r="AM13" i="3"/>
  <c r="U40" i="3"/>
  <c r="U26" i="3"/>
  <c r="U12" i="3"/>
  <c r="U11" i="3"/>
  <c r="U16" i="3"/>
  <c r="U45" i="3"/>
  <c r="AU19" i="3"/>
  <c r="U54" i="3"/>
  <c r="U44" i="3"/>
  <c r="U46" i="3"/>
  <c r="U39" i="3"/>
  <c r="U47" i="3"/>
  <c r="U53" i="3"/>
  <c r="U48" i="3"/>
  <c r="U29" i="3"/>
  <c r="U42" i="3"/>
  <c r="U25" i="3"/>
  <c r="U20" i="3"/>
  <c r="U13" i="3"/>
  <c r="U27" i="3"/>
  <c r="U41" i="3"/>
  <c r="U34" i="3"/>
  <c r="U37" i="3"/>
  <c r="U30" i="3"/>
  <c r="U10" i="3"/>
  <c r="U50" i="3"/>
  <c r="U22" i="3"/>
  <c r="U51" i="3"/>
  <c r="U35" i="3"/>
  <c r="U32" i="3"/>
  <c r="U19" i="3"/>
  <c r="U14" i="3"/>
  <c r="U15" i="3"/>
  <c r="U38" i="3"/>
  <c r="U31" i="3"/>
  <c r="AF35" i="3"/>
  <c r="AC19" i="3"/>
  <c r="BA19" i="3"/>
  <c r="R27" i="3"/>
  <c r="AM34" i="3"/>
  <c r="AQ27" i="3"/>
  <c r="R17" i="3"/>
  <c r="BA27" i="3"/>
  <c r="J35" i="3"/>
  <c r="R35" i="3"/>
  <c r="AU35" i="3"/>
  <c r="BA35" i="3"/>
  <c r="AQ12" i="3"/>
  <c r="X17" i="3"/>
  <c r="AC35" i="3"/>
  <c r="X19" i="3"/>
  <c r="X35" i="3"/>
  <c r="J19" i="3"/>
  <c r="AM19" i="3"/>
  <c r="N27" i="3"/>
  <c r="AC27" i="3"/>
  <c r="AI12" i="3"/>
  <c r="AI17" i="3"/>
  <c r="X27" i="3"/>
  <c r="AI27" i="3"/>
  <c r="AI35" i="3"/>
  <c r="J27" i="3"/>
  <c r="AI19" i="3"/>
  <c r="AM27" i="3"/>
  <c r="AM35" i="3"/>
  <c r="AQ35" i="3"/>
  <c r="AF17" i="3"/>
  <c r="AF27" i="3"/>
  <c r="AU17" i="3"/>
  <c r="AU27" i="3"/>
  <c r="J17" i="3"/>
  <c r="AF19" i="3"/>
  <c r="AQ52" i="3"/>
  <c r="R12" i="3"/>
  <c r="J15" i="3"/>
  <c r="AU12" i="3"/>
  <c r="N32" i="3"/>
  <c r="R41" i="3"/>
  <c r="AF12" i="3"/>
  <c r="R15" i="3"/>
  <c r="AM53" i="3"/>
  <c r="X12" i="3"/>
  <c r="AQ42" i="3"/>
  <c r="BA12" i="3"/>
  <c r="J33" i="3"/>
  <c r="N16" i="3"/>
  <c r="N12" i="3"/>
  <c r="J22" i="3"/>
  <c r="X45" i="3"/>
  <c r="R26" i="3"/>
  <c r="AM12" i="3"/>
  <c r="J51" i="3"/>
  <c r="R34" i="3"/>
  <c r="N51" i="3"/>
  <c r="AM22" i="3"/>
  <c r="J41" i="3"/>
  <c r="AM54" i="3"/>
  <c r="AU15" i="3"/>
  <c r="J12" i="3"/>
  <c r="J48" i="3"/>
  <c r="N45" i="3"/>
  <c r="X20" i="3"/>
  <c r="X11" i="3"/>
  <c r="AM31" i="3"/>
  <c r="AQ23" i="3"/>
  <c r="AU53" i="3"/>
  <c r="AU10" i="3"/>
  <c r="J20" i="3"/>
  <c r="R16" i="3"/>
  <c r="AM32" i="3"/>
  <c r="AM51" i="3"/>
  <c r="R11" i="3"/>
  <c r="U11" i="9"/>
  <c r="G8" i="10" s="1"/>
  <c r="N11" i="3"/>
  <c r="AM33" i="3"/>
  <c r="R22" i="3"/>
  <c r="N15" i="3"/>
  <c r="AM41" i="3"/>
  <c r="AM26" i="3"/>
  <c r="J32" i="3"/>
  <c r="N41" i="3"/>
  <c r="N46" i="3"/>
  <c r="R30" i="3"/>
  <c r="R32" i="3"/>
  <c r="AM45" i="3"/>
  <c r="R39" i="3"/>
  <c r="J13" i="3"/>
  <c r="AK55" i="3"/>
  <c r="J14" i="3"/>
  <c r="R48" i="3"/>
  <c r="J23" i="3"/>
  <c r="R47" i="3"/>
  <c r="N13" i="3"/>
  <c r="AM16" i="3"/>
  <c r="AQ14" i="3"/>
  <c r="J53" i="3"/>
  <c r="R20" i="3"/>
  <c r="J34" i="3"/>
  <c r="N22" i="3"/>
  <c r="R13" i="3"/>
  <c r="R53" i="3"/>
  <c r="AM42" i="3"/>
  <c r="J52" i="3"/>
  <c r="AU34" i="3"/>
  <c r="J30" i="3"/>
  <c r="AM52" i="3"/>
  <c r="J46" i="3"/>
  <c r="X48" i="3"/>
  <c r="AM23" i="3"/>
  <c r="X46" i="3"/>
  <c r="P49" i="3"/>
  <c r="AQ46" i="3"/>
  <c r="X31" i="3"/>
  <c r="J11" i="3"/>
  <c r="J39" i="3"/>
  <c r="X15" i="3"/>
  <c r="N30" i="3"/>
  <c r="AM15" i="3"/>
  <c r="X16" i="3"/>
  <c r="J11" i="9"/>
  <c r="L55" i="3"/>
  <c r="N11" i="9"/>
  <c r="G18" i="3"/>
  <c r="G24" i="3"/>
  <c r="J38" i="3"/>
  <c r="N21" i="3"/>
  <c r="J31" i="3"/>
  <c r="N14" i="3"/>
  <c r="X22" i="3"/>
  <c r="J54" i="3"/>
  <c r="N38" i="3"/>
  <c r="R21" i="3"/>
  <c r="AS28" i="3"/>
  <c r="AU16" i="3"/>
  <c r="AS24" i="3"/>
  <c r="AU29" i="3"/>
  <c r="X54" i="3"/>
  <c r="AM21" i="3"/>
  <c r="J47" i="3"/>
  <c r="R14" i="3"/>
  <c r="G49" i="3"/>
  <c r="G28" i="3"/>
  <c r="X30" i="3"/>
  <c r="J37" i="3"/>
  <c r="I43" i="3"/>
  <c r="L18" i="3"/>
  <c r="AE18" i="3"/>
  <c r="J29" i="3"/>
  <c r="I36" i="3"/>
  <c r="T28" i="3"/>
  <c r="AO49" i="3"/>
  <c r="J21" i="3"/>
  <c r="X47" i="3"/>
  <c r="AO24" i="3"/>
  <c r="L28" i="3"/>
  <c r="N54" i="3"/>
  <c r="R38" i="3"/>
  <c r="X21" i="3"/>
  <c r="X13" i="3"/>
  <c r="N53" i="3"/>
  <c r="J45" i="3"/>
  <c r="N29" i="3"/>
  <c r="M36" i="3"/>
  <c r="AE28" i="3"/>
  <c r="AQ15" i="3"/>
  <c r="AU42" i="3"/>
  <c r="AP24" i="3"/>
  <c r="AS18" i="3"/>
  <c r="AU46" i="3"/>
  <c r="AQ31" i="3"/>
  <c r="H24" i="3"/>
  <c r="T18" i="3"/>
  <c r="AQ25" i="3"/>
  <c r="AP28" i="3"/>
  <c r="AQ13" i="3"/>
  <c r="G36" i="3"/>
  <c r="R44" i="3"/>
  <c r="Q49" i="3"/>
  <c r="N31" i="3"/>
  <c r="T49" i="3"/>
  <c r="J40" i="3"/>
  <c r="N23" i="3"/>
  <c r="T43" i="3"/>
  <c r="AT36" i="3"/>
  <c r="AU31" i="3"/>
  <c r="AE55" i="3"/>
  <c r="L49" i="3"/>
  <c r="P24" i="3"/>
  <c r="X32" i="3"/>
  <c r="AM46" i="3"/>
  <c r="R37" i="3"/>
  <c r="Q43" i="3"/>
  <c r="N47" i="3"/>
  <c r="R31" i="3"/>
  <c r="X14" i="3"/>
  <c r="AE49" i="3"/>
  <c r="AL24" i="3"/>
  <c r="AU44" i="3"/>
  <c r="AT49" i="3"/>
  <c r="AM11" i="3"/>
  <c r="AT55" i="3"/>
  <c r="AU50" i="3"/>
  <c r="AQ34" i="3"/>
  <c r="AU13" i="3"/>
  <c r="AP43" i="3"/>
  <c r="AQ38" i="3"/>
  <c r="AU26" i="3"/>
  <c r="AO55" i="3"/>
  <c r="AS36" i="3"/>
  <c r="AQ50" i="3"/>
  <c r="AP55" i="3"/>
  <c r="AU38" i="3"/>
  <c r="AQ22" i="3"/>
  <c r="AS55" i="3"/>
  <c r="AM30" i="3"/>
  <c r="AM10" i="3"/>
  <c r="AL18" i="3"/>
  <c r="AQ40" i="3"/>
  <c r="G43" i="3"/>
  <c r="G55" i="3"/>
  <c r="N25" i="3"/>
  <c r="M28" i="3"/>
  <c r="N39" i="3"/>
  <c r="X25" i="3"/>
  <c r="W28" i="3"/>
  <c r="N40" i="3"/>
  <c r="R23" i="3"/>
  <c r="AE43" i="3"/>
  <c r="J50" i="3"/>
  <c r="I55" i="3"/>
  <c r="N33" i="3"/>
  <c r="AM14" i="3"/>
  <c r="AT28" i="3"/>
  <c r="AU25" i="3"/>
  <c r="P43" i="3"/>
  <c r="X50" i="3"/>
  <c r="W55" i="3"/>
  <c r="AO36" i="3"/>
  <c r="X39" i="3"/>
  <c r="P36" i="3"/>
  <c r="X41" i="3"/>
  <c r="AK28" i="3"/>
  <c r="T36" i="3"/>
  <c r="H49" i="3"/>
  <c r="R40" i="3"/>
  <c r="X23" i="3"/>
  <c r="AM29" i="3"/>
  <c r="AL36" i="3"/>
  <c r="X34" i="3"/>
  <c r="AM20" i="3"/>
  <c r="AQ44" i="3"/>
  <c r="AU22" i="3"/>
  <c r="AQ16" i="3"/>
  <c r="AP49" i="3"/>
  <c r="AQ47" i="3"/>
  <c r="AQ11" i="3"/>
  <c r="AS43" i="3"/>
  <c r="AU47" i="3"/>
  <c r="AQ32" i="3"/>
  <c r="AU11" i="3"/>
  <c r="AM37" i="3"/>
  <c r="AL43" i="3"/>
  <c r="N44" i="3"/>
  <c r="M49" i="3"/>
  <c r="L24" i="3"/>
  <c r="X37" i="3"/>
  <c r="W43" i="3"/>
  <c r="N34" i="3"/>
  <c r="X44" i="3"/>
  <c r="W49" i="3"/>
  <c r="H43" i="3"/>
  <c r="N50" i="3"/>
  <c r="M55" i="3"/>
  <c r="R33" i="3"/>
  <c r="N42" i="3"/>
  <c r="X10" i="3"/>
  <c r="W18" i="3"/>
  <c r="AM44" i="3"/>
  <c r="AL49" i="3"/>
  <c r="J25" i="3"/>
  <c r="I28" i="3"/>
  <c r="X51" i="3"/>
  <c r="L43" i="3"/>
  <c r="R50" i="3"/>
  <c r="Q55" i="3"/>
  <c r="X33" i="3"/>
  <c r="AM38" i="3"/>
  <c r="X53" i="3"/>
  <c r="AM39" i="3"/>
  <c r="AO28" i="3"/>
  <c r="AQ53" i="3"/>
  <c r="AU32" i="3"/>
  <c r="AQ26" i="3"/>
  <c r="AU45" i="3"/>
  <c r="AQ20" i="3"/>
  <c r="AS49" i="3"/>
  <c r="AQ41" i="3"/>
  <c r="AU20" i="3"/>
  <c r="AT18" i="3"/>
  <c r="H36" i="3"/>
  <c r="P55" i="3"/>
  <c r="R25" i="3"/>
  <c r="Q28" i="3"/>
  <c r="L36" i="3"/>
  <c r="R42" i="3"/>
  <c r="X26" i="3"/>
  <c r="AK18" i="3"/>
  <c r="AM40" i="3"/>
  <c r="N52" i="3"/>
  <c r="W24" i="3"/>
  <c r="R46" i="3"/>
  <c r="J42" i="3"/>
  <c r="N26" i="3"/>
  <c r="R10" i="3"/>
  <c r="Q18" i="3"/>
  <c r="AM25" i="3"/>
  <c r="AL28" i="3"/>
  <c r="AK49" i="3"/>
  <c r="J16" i="3"/>
  <c r="X42" i="3"/>
  <c r="AM47" i="3"/>
  <c r="AM48" i="3"/>
  <c r="AU41" i="3"/>
  <c r="AU14" i="3"/>
  <c r="AU54" i="3"/>
  <c r="AQ30" i="3"/>
  <c r="AQ51" i="3"/>
  <c r="AU30" i="3"/>
  <c r="AU21" i="3"/>
  <c r="H28" i="3"/>
  <c r="AU52" i="3"/>
  <c r="H18" i="3"/>
  <c r="H55" i="3"/>
  <c r="J10" i="3"/>
  <c r="I18" i="3"/>
  <c r="R52" i="3"/>
  <c r="AK24" i="3"/>
  <c r="AM50" i="3"/>
  <c r="AL55" i="3"/>
  <c r="R45" i="3"/>
  <c r="X29" i="3"/>
  <c r="W36" i="3"/>
  <c r="T24" i="3"/>
  <c r="Q24" i="3"/>
  <c r="J44" i="3"/>
  <c r="I49" i="3"/>
  <c r="J26" i="3"/>
  <c r="N10" i="3"/>
  <c r="M18" i="3"/>
  <c r="X52" i="3"/>
  <c r="AO43" i="3"/>
  <c r="AU51" i="3"/>
  <c r="AQ45" i="3"/>
  <c r="AU23" i="3"/>
  <c r="AQ39" i="3"/>
  <c r="AU39" i="3"/>
  <c r="P18" i="3"/>
  <c r="AK43" i="3"/>
  <c r="AP36" i="3"/>
  <c r="AQ29" i="3"/>
  <c r="AE36" i="3"/>
  <c r="AE24" i="3"/>
  <c r="R51" i="3"/>
  <c r="N20" i="3"/>
  <c r="I24" i="3"/>
  <c r="AK36" i="3"/>
  <c r="AO18" i="3"/>
  <c r="P28" i="3"/>
  <c r="R54" i="3"/>
  <c r="R29" i="3"/>
  <c r="Q36" i="3"/>
  <c r="N37" i="3"/>
  <c r="M43" i="3"/>
  <c r="T55" i="3"/>
  <c r="AT43" i="3"/>
  <c r="AU40" i="3"/>
  <c r="M24" i="3"/>
  <c r="AQ54" i="3"/>
  <c r="AU33" i="3"/>
  <c r="AP18" i="3"/>
  <c r="AQ48" i="3"/>
  <c r="AU37" i="3"/>
  <c r="AQ21" i="3"/>
  <c r="AU48" i="3"/>
  <c r="D59" i="16" l="1"/>
  <c r="D59" i="20"/>
  <c r="D59" i="18"/>
  <c r="D59" i="21"/>
  <c r="D59" i="19"/>
  <c r="D59" i="14"/>
  <c r="G59" i="14"/>
  <c r="M49" i="14"/>
  <c r="M43" i="14"/>
  <c r="M36" i="14"/>
  <c r="M26" i="14"/>
  <c r="M29" i="14"/>
  <c r="M19" i="14"/>
  <c r="M37" i="14"/>
  <c r="M47" i="14"/>
  <c r="L52" i="14"/>
  <c r="I13" i="14"/>
  <c r="I21" i="14"/>
  <c r="M14" i="14"/>
  <c r="I31" i="14"/>
  <c r="I28" i="14"/>
  <c r="M25" i="14"/>
  <c r="F59" i="14"/>
  <c r="M24" i="14"/>
  <c r="L58" i="14"/>
  <c r="M53" i="14"/>
  <c r="M34" i="14"/>
  <c r="K59" i="14"/>
  <c r="M32" i="14"/>
  <c r="L39" i="14"/>
  <c r="M39" i="14" s="1"/>
  <c r="I32" i="14"/>
  <c r="I39" i="14"/>
  <c r="M16" i="14"/>
  <c r="I40" i="14"/>
  <c r="I46" i="14"/>
  <c r="M48" i="14"/>
  <c r="L27" i="14"/>
  <c r="I53" i="14"/>
  <c r="M33" i="14"/>
  <c r="M18" i="14"/>
  <c r="I52" i="14"/>
  <c r="I47" i="14"/>
  <c r="M41" i="14"/>
  <c r="M17" i="14"/>
  <c r="M13" i="14"/>
  <c r="L21" i="14"/>
  <c r="M21" i="14" s="1"/>
  <c r="M40" i="14"/>
  <c r="L46" i="14"/>
  <c r="M46" i="14" s="1"/>
  <c r="M50" i="14"/>
  <c r="I27" i="14"/>
  <c r="M28" i="14"/>
  <c r="L31" i="14"/>
  <c r="M31" i="14" s="1"/>
  <c r="M35" i="14"/>
  <c r="E56" i="3"/>
  <c r="G7" i="10"/>
  <c r="H7" i="10" s="1"/>
  <c r="G5" i="10"/>
  <c r="H5" i="10" s="1"/>
  <c r="H8" i="10"/>
  <c r="G6" i="10"/>
  <c r="H6" i="10" s="1"/>
  <c r="U55" i="3"/>
  <c r="U9" i="9"/>
  <c r="E8" i="10" s="1"/>
  <c r="R9" i="9"/>
  <c r="E7" i="10" s="1"/>
  <c r="U36" i="3"/>
  <c r="U43" i="3"/>
  <c r="U24" i="3"/>
  <c r="U28" i="3"/>
  <c r="U49" i="3"/>
  <c r="U18" i="3"/>
  <c r="AQ49" i="3"/>
  <c r="AU24" i="3"/>
  <c r="N18" i="3"/>
  <c r="AU28" i="3"/>
  <c r="R49" i="3"/>
  <c r="X43" i="3"/>
  <c r="G56" i="3"/>
  <c r="AQ36" i="3"/>
  <c r="N43" i="3"/>
  <c r="N9" i="9"/>
  <c r="E6" i="10" s="1"/>
  <c r="J9" i="9"/>
  <c r="Y9" i="9"/>
  <c r="AM28" i="3"/>
  <c r="AK56" i="3"/>
  <c r="N28" i="3"/>
  <c r="J43" i="3"/>
  <c r="N24" i="3"/>
  <c r="AM49" i="3"/>
  <c r="R36" i="3"/>
  <c r="J49" i="3"/>
  <c r="AU43" i="3"/>
  <c r="J24" i="3"/>
  <c r="X24" i="3"/>
  <c r="AM43" i="3"/>
  <c r="X28" i="3"/>
  <c r="L56" i="3"/>
  <c r="AQ24" i="3"/>
  <c r="X49" i="3"/>
  <c r="R18" i="3"/>
  <c r="R24" i="3"/>
  <c r="AU18" i="3"/>
  <c r="AO56" i="3"/>
  <c r="X36" i="3"/>
  <c r="J18" i="3"/>
  <c r="AS56" i="3"/>
  <c r="AU36" i="3"/>
  <c r="X18" i="3"/>
  <c r="AM36" i="3"/>
  <c r="X55" i="3"/>
  <c r="W56" i="3"/>
  <c r="J55" i="3"/>
  <c r="I56" i="3"/>
  <c r="AU55" i="3"/>
  <c r="AT56" i="3"/>
  <c r="J28" i="3"/>
  <c r="H56" i="3"/>
  <c r="R28" i="3"/>
  <c r="N49" i="3"/>
  <c r="AQ55" i="3"/>
  <c r="AQ43" i="3"/>
  <c r="AU49" i="3"/>
  <c r="AQ28" i="3"/>
  <c r="N36" i="3"/>
  <c r="T56" i="3"/>
  <c r="AM55" i="3"/>
  <c r="AL56" i="3"/>
  <c r="R55" i="3"/>
  <c r="Q56" i="3"/>
  <c r="AP56" i="3"/>
  <c r="Y11" i="9" s="1"/>
  <c r="G9" i="10" s="1"/>
  <c r="H9" i="10" s="1"/>
  <c r="AQ18" i="3"/>
  <c r="P56" i="3"/>
  <c r="AM18" i="3"/>
  <c r="AM24" i="3"/>
  <c r="R43" i="3"/>
  <c r="AE56" i="3"/>
  <c r="J36" i="3"/>
  <c r="N55" i="3"/>
  <c r="M56" i="3"/>
  <c r="AX56" i="3"/>
  <c r="AX10" i="3"/>
  <c r="AX18" i="3" s="1"/>
  <c r="BA38" i="3"/>
  <c r="AF15" i="3"/>
  <c r="AF16" i="3"/>
  <c r="AF20" i="3"/>
  <c r="AF21" i="3"/>
  <c r="AF22" i="3"/>
  <c r="AF23" i="3"/>
  <c r="AF25" i="3"/>
  <c r="AF26" i="3"/>
  <c r="AF29" i="3"/>
  <c r="AF30" i="3"/>
  <c r="AF31" i="3"/>
  <c r="AF32" i="3"/>
  <c r="AF33" i="3"/>
  <c r="AF34" i="3"/>
  <c r="AF37" i="3"/>
  <c r="AF38" i="3"/>
  <c r="AF39" i="3"/>
  <c r="AF40" i="3"/>
  <c r="AF41" i="3"/>
  <c r="AF42" i="3"/>
  <c r="AF44" i="3"/>
  <c r="AF45" i="3"/>
  <c r="AF46" i="3"/>
  <c r="AF47" i="3"/>
  <c r="AF48" i="3"/>
  <c r="AF50" i="3"/>
  <c r="AF51" i="3"/>
  <c r="AF52" i="3"/>
  <c r="AF53" i="3"/>
  <c r="AF54" i="3"/>
  <c r="AF11" i="3"/>
  <c r="AF13" i="3"/>
  <c r="AF14" i="3"/>
  <c r="J2" i="4"/>
  <c r="M58" i="14" l="1"/>
  <c r="L59" i="14"/>
  <c r="M59" i="14" s="1"/>
  <c r="H59" i="14"/>
  <c r="I59" i="14" s="1"/>
  <c r="I58" i="14"/>
  <c r="M52" i="14"/>
  <c r="M27" i="14"/>
  <c r="O10" i="9"/>
  <c r="V10" i="9"/>
  <c r="S10" i="9"/>
  <c r="Z10" i="9"/>
  <c r="K10" i="9"/>
  <c r="M10" i="9"/>
  <c r="L10" i="9"/>
  <c r="X10" i="9"/>
  <c r="W10" i="9"/>
  <c r="T10" i="9"/>
  <c r="I10" i="9"/>
  <c r="Q10" i="9"/>
  <c r="G10" i="9"/>
  <c r="P10" i="9"/>
  <c r="BA29" i="3"/>
  <c r="BA33" i="3"/>
  <c r="AF10" i="3"/>
  <c r="AC10" i="3"/>
  <c r="U56" i="3"/>
  <c r="AI51" i="3"/>
  <c r="AI41" i="3"/>
  <c r="AI31" i="3"/>
  <c r="AI20" i="3"/>
  <c r="AI46" i="3"/>
  <c r="AI37" i="3"/>
  <c r="AI25" i="3"/>
  <c r="AI54" i="3"/>
  <c r="AI45" i="3"/>
  <c r="AI34" i="3"/>
  <c r="AI23" i="3"/>
  <c r="AI11" i="3"/>
  <c r="AI53" i="3"/>
  <c r="AI44" i="3"/>
  <c r="AI33" i="3"/>
  <c r="AI22" i="3"/>
  <c r="AI52" i="3"/>
  <c r="AI42" i="3"/>
  <c r="AI32" i="3"/>
  <c r="AI21" i="3"/>
  <c r="AI50" i="3"/>
  <c r="AI40" i="3"/>
  <c r="AI30" i="3"/>
  <c r="AI16" i="3"/>
  <c r="AI48" i="3"/>
  <c r="AI39" i="3"/>
  <c r="AI29" i="3"/>
  <c r="AI15" i="3"/>
  <c r="AI47" i="3"/>
  <c r="AI38" i="3"/>
  <c r="AI26" i="3"/>
  <c r="AI14" i="3"/>
  <c r="AI10" i="3"/>
  <c r="AI13" i="3"/>
  <c r="N56" i="3"/>
  <c r="AU56" i="3"/>
  <c r="AQ56" i="3"/>
  <c r="AM56" i="3"/>
  <c r="J56" i="3"/>
  <c r="R56" i="3"/>
  <c r="X56" i="3"/>
  <c r="AH55" i="3"/>
  <c r="BA47" i="3"/>
  <c r="E9" i="10"/>
  <c r="E5" i="10"/>
  <c r="AY18" i="3"/>
  <c r="BA20" i="3"/>
  <c r="BA11" i="3"/>
  <c r="BA46" i="3"/>
  <c r="BA15" i="3"/>
  <c r="AC51" i="3"/>
  <c r="AC41" i="3"/>
  <c r="AC32" i="3"/>
  <c r="AC22" i="3"/>
  <c r="AY49" i="3"/>
  <c r="AY28" i="3"/>
  <c r="BA53" i="3"/>
  <c r="BA44" i="3"/>
  <c r="BA34" i="3"/>
  <c r="BA23" i="3"/>
  <c r="AC14" i="3"/>
  <c r="AB55" i="3"/>
  <c r="AF55" i="3" s="1"/>
  <c r="AC40" i="3"/>
  <c r="AC31" i="3"/>
  <c r="AC21" i="3"/>
  <c r="AH49" i="3"/>
  <c r="BA16" i="3"/>
  <c r="BA52" i="3"/>
  <c r="BA42" i="3"/>
  <c r="BA22" i="3"/>
  <c r="AC13" i="3"/>
  <c r="AC48" i="3"/>
  <c r="AC39" i="3"/>
  <c r="AC30" i="3"/>
  <c r="AC20" i="3"/>
  <c r="BA51" i="3"/>
  <c r="BA41" i="3"/>
  <c r="BA32" i="3"/>
  <c r="BA21" i="3"/>
  <c r="AC47" i="3"/>
  <c r="AC38" i="3"/>
  <c r="AB36" i="3"/>
  <c r="AF36" i="3" s="1"/>
  <c r="AB24" i="3"/>
  <c r="AF24" i="3" s="1"/>
  <c r="AY55" i="3"/>
  <c r="BA14" i="3"/>
  <c r="AZ55" i="3"/>
  <c r="BA40" i="3"/>
  <c r="BA31" i="3"/>
  <c r="AZ28" i="3"/>
  <c r="AC11" i="3"/>
  <c r="AC46" i="3"/>
  <c r="AC37" i="3"/>
  <c r="BA13" i="3"/>
  <c r="BA48" i="3"/>
  <c r="BA39" i="3"/>
  <c r="BA30" i="3"/>
  <c r="AC54" i="3"/>
  <c r="AC45" i="3"/>
  <c r="AC26" i="3"/>
  <c r="AC16" i="3"/>
  <c r="AY24" i="3"/>
  <c r="BA10" i="3"/>
  <c r="AC53" i="3"/>
  <c r="AC44" i="3"/>
  <c r="AC34" i="3"/>
  <c r="AC25" i="3"/>
  <c r="AC15" i="3"/>
  <c r="AH24" i="3"/>
  <c r="AY43" i="3"/>
  <c r="AZ43" i="3"/>
  <c r="AC52" i="3"/>
  <c r="AC42" i="3"/>
  <c r="AC33" i="3"/>
  <c r="AC23" i="3"/>
  <c r="BA54" i="3"/>
  <c r="BA45" i="3"/>
  <c r="BA26" i="3"/>
  <c r="BA37" i="3"/>
  <c r="AC29" i="3"/>
  <c r="AH28" i="3"/>
  <c r="BA50" i="3"/>
  <c r="AY36" i="3"/>
  <c r="AZ49" i="3"/>
  <c r="AB28" i="3"/>
  <c r="AF28" i="3" s="1"/>
  <c r="AH36" i="3"/>
  <c r="AC50" i="3"/>
  <c r="AH43" i="3"/>
  <c r="AB43" i="3"/>
  <c r="AF43" i="3" s="1"/>
  <c r="BA25" i="3"/>
  <c r="AB49" i="3"/>
  <c r="AF49" i="3" s="1"/>
  <c r="AZ24" i="3"/>
  <c r="AB18" i="3"/>
  <c r="AF18" i="3" s="1"/>
  <c r="AH18" i="3"/>
  <c r="AZ36" i="3"/>
  <c r="AZ18" i="3"/>
  <c r="F10" i="9"/>
  <c r="D4" i="10" s="1"/>
  <c r="R10" i="9" l="1"/>
  <c r="D7" i="10" s="1"/>
  <c r="AI24" i="3"/>
  <c r="AI36" i="3"/>
  <c r="AI18" i="3"/>
  <c r="AI43" i="3"/>
  <c r="AI28" i="3"/>
  <c r="AI49" i="3"/>
  <c r="AI55" i="3"/>
  <c r="Y10" i="9"/>
  <c r="D9" i="10" s="1"/>
  <c r="J10" i="9"/>
  <c r="D5" i="10" s="1"/>
  <c r="U10" i="9"/>
  <c r="D8" i="10" s="1"/>
  <c r="N10" i="9"/>
  <c r="D6" i="10" s="1"/>
  <c r="Z56" i="3"/>
  <c r="AC18" i="3"/>
  <c r="AC55" i="3"/>
  <c r="AC24" i="3"/>
  <c r="BA18" i="3"/>
  <c r="BA49" i="3"/>
  <c r="BA43" i="3"/>
  <c r="AC28" i="3"/>
  <c r="BA28" i="3"/>
  <c r="BA24" i="3"/>
  <c r="BA36" i="3"/>
  <c r="AC49" i="3"/>
  <c r="AC36" i="3"/>
  <c r="AZ56" i="3"/>
  <c r="AB56" i="3"/>
  <c r="AF56" i="3" s="1"/>
  <c r="AH56" i="3"/>
  <c r="AC43" i="3"/>
  <c r="AW56" i="3"/>
  <c r="BA55" i="3"/>
  <c r="AY56" i="3"/>
  <c r="AI56" i="3" l="1"/>
  <c r="AC56" i="3"/>
  <c r="BA56" i="3"/>
  <c r="E4" i="1" l="1"/>
  <c r="E5" i="1"/>
  <c r="E6" i="1"/>
  <c r="E7" i="1"/>
  <c r="E8" i="1"/>
  <c r="E3" i="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keepAlive="1" name="Query - Import 2" description="Connection to the 'Import 2' query in the workbook." type="5" refreshedVersion="7" background="1" saveData="1">
    <dbPr connection="Provider=Microsoft.Mashup.OleDb.1;Data Source=$Workbook$;Location=&quot;Import 2&quot;;Extended Properties=&quot;&quot;" command="SELECT * FROM [Import 2]"/>
  </connection>
  <connection id="2" xr16:uid="{00000000-0015-0000-FFFF-FFFF01000000}" keepAlive="1" name="Query - Sample File" description="Connection to the 'Sample File' query in the workbook." type="5" refreshedVersion="0" background="1">
    <dbPr connection="Provider=Microsoft.Mashup.OleDb.1;Data Source=$Workbook$;Location=&quot;Sample File&quot;;Extended Properties=&quot;&quot;" command="SELECT * FROM [Sample File]"/>
  </connection>
  <connection id="3" xr16:uid="{00000000-0015-0000-FFFF-FFFF02000000}" keepAlive="1" name="Query - Sample File Parameter1" description="Connection to the 'Sample File Parameter1' query in the workbook." type="5" refreshedVersion="0" background="1">
    <dbPr connection="Provider=Microsoft.Mashup.OleDb.1;Data Source=$Workbook$;Location=&quot;Sample File Parameter1&quot;;Extended Properties=&quot;&quot;" command="SELECT * FROM [Sample File Parameter1]"/>
  </connection>
  <connection id="4" xr16:uid="{00000000-0015-0000-FFFF-FFFF03000000}" keepAlive="1" name="Query - Transform File from Import 2" description="Connection to the 'Transform File from Import 2' query in the workbook." type="5" refreshedVersion="0" background="1">
    <dbPr connection="Provider=Microsoft.Mashup.OleDb.1;Data Source=$Workbook$;Location=&quot;Transform File from Import 2&quot;;Extended Properties=&quot;&quot;" command="SELECT * FROM [Transform File from Import 2]"/>
  </connection>
  <connection id="5" xr16:uid="{00000000-0015-0000-FFFF-FFFF04000000}" keepAlive="1" name="Query - Transform Sample File from Import 2" description="Connection to the 'Transform Sample File from Import 2' query in the workbook." type="5" refreshedVersion="0" background="1">
    <dbPr connection="Provider=Microsoft.Mashup.OleDb.1;Data Source=$Workbook$;Location=&quot;Transform Sample File from Import 2&quot;;Extended Properties=&quot;&quot;" command="SELECT * FROM [Transform Sample File from Import 2]"/>
  </connection>
</connections>
</file>

<file path=xl/sharedStrings.xml><?xml version="1.0" encoding="utf-8"?>
<sst xmlns="http://schemas.openxmlformats.org/spreadsheetml/2006/main" count="3719" uniqueCount="289">
  <si>
    <t>Asthma review coded or proxy (inhaler technic) 12m</t>
  </si>
  <si>
    <t>ACT recorded</t>
  </si>
  <si>
    <t>Not on PPI 6m</t>
  </si>
  <si>
    <t>not PPI, review</t>
  </si>
  <si>
    <t>figures for Bar chart</t>
  </si>
  <si>
    <t>Waltham Forest Total</t>
  </si>
  <si>
    <t>1 Diabetes review recorded or proxy 12m</t>
  </si>
  <si>
    <t>3 Triple target achieved</t>
  </si>
  <si>
    <t>8 Asthma review coded or proxy(inhaler technique) 12m</t>
  </si>
  <si>
    <t>11 ACT recorded</t>
  </si>
  <si>
    <t>12 off target with clinical review(2)</t>
  </si>
  <si>
    <t>figures for line chart</t>
  </si>
  <si>
    <t>8 Asthma review coded or proxy (inhaler technique) 12m</t>
  </si>
  <si>
    <t>1 Diabetes review recorded or proxy 12m3</t>
  </si>
  <si>
    <t>/Type 2 diabetics</t>
  </si>
  <si>
    <t>/Eligible for triple target</t>
  </si>
  <si>
    <t>/8 Asthma review coded or proxy (inhaler technique) 12m</t>
  </si>
  <si>
    <t>12 Off target, with clinical review (2)</t>
  </si>
  <si>
    <t>/Off target</t>
  </si>
  <si>
    <t>Waltham Forest: Long Term Condition (SNS) 2021-2022</t>
  </si>
  <si>
    <t>&lt;&lt;  Select Date</t>
  </si>
  <si>
    <t>A. Patients on Diabetes Register</t>
  </si>
  <si>
    <t>C. Patients on the Asthma Register</t>
  </si>
  <si>
    <t>D. Patients on Hypertension Register</t>
  </si>
  <si>
    <t>Search title &gt;&gt;</t>
  </si>
  <si>
    <t xml:space="preserve"> Type 2 diabetes</t>
  </si>
  <si>
    <t>% 1 Diabetes review recorded or proxy 12m (static fig 1/04/2021)</t>
  </si>
  <si>
    <t>Eligible for Triple target</t>
  </si>
  <si>
    <t>%3 Triple target achieved (static fig 1/04/2021)</t>
  </si>
  <si>
    <t>% 8 Asthma review coded or proxy (inhaler technique) 12m (static fig 1/04/2021)</t>
  </si>
  <si>
    <t>% 11 ACT recorded (static fig 1/04/2021)</t>
  </si>
  <si>
    <t>Off target</t>
  </si>
  <si>
    <t>%12 off target with clinical review(2) (static fig 1/04/2021)</t>
  </si>
  <si>
    <t>Select Practice   &gt;&gt;</t>
  </si>
  <si>
    <t>The Microfaculty **</t>
  </si>
  <si>
    <t>Network</t>
  </si>
  <si>
    <t>Waltham Forest</t>
  </si>
  <si>
    <t>Total</t>
  </si>
  <si>
    <t>Legend</t>
  </si>
  <si>
    <t>**</t>
  </si>
  <si>
    <t xml:space="preserve"> SystmOne practices - No data available for 1/5/2021 &amp; 1/6/2021</t>
  </si>
  <si>
    <t>CEG WF Facilitator:</t>
  </si>
  <si>
    <t>Fae Wilkins</t>
  </si>
  <si>
    <t>Date</t>
  </si>
  <si>
    <t>% 12 off target, with clinical review(2) (static fig, 1/09/2020)</t>
  </si>
  <si>
    <t>off target</t>
  </si>
  <si>
    <t>12 off target</t>
  </si>
  <si>
    <t>%12 off target</t>
  </si>
  <si>
    <t>The Microfaculty</t>
  </si>
  <si>
    <t>Forest Surgery</t>
  </si>
  <si>
    <t>Handsworth Medical Centre</t>
  </si>
  <si>
    <t>Leyton Healthcare (Oliver Road)</t>
  </si>
  <si>
    <t>F86700</t>
  </si>
  <si>
    <t>reverses percentages figures</t>
  </si>
  <si>
    <t>F86664</t>
  </si>
  <si>
    <t>Handsworth Medical Practice</t>
  </si>
  <si>
    <t>F86004</t>
  </si>
  <si>
    <t>F86638</t>
  </si>
  <si>
    <t>F86026</t>
  </si>
  <si>
    <t>F86074</t>
  </si>
  <si>
    <t>Leyton Healthcare</t>
  </si>
  <si>
    <t>F86005</t>
  </si>
  <si>
    <t>Dr Oraelosi and Partners</t>
  </si>
  <si>
    <t>F86018</t>
  </si>
  <si>
    <t>F86626</t>
  </si>
  <si>
    <t>Y01839</t>
  </si>
  <si>
    <t>F86689</t>
  </si>
  <si>
    <t>WF-1</t>
  </si>
  <si>
    <t>total</t>
  </si>
  <si>
    <t>Y01291</t>
  </si>
  <si>
    <t>F86627</t>
  </si>
  <si>
    <t>F86078</t>
  </si>
  <si>
    <t>F86616</t>
  </si>
  <si>
    <t>%</t>
  </si>
  <si>
    <t>WF-2</t>
  </si>
  <si>
    <t>F86011</t>
  </si>
  <si>
    <t>F86038</t>
  </si>
  <si>
    <t>WF-3</t>
  </si>
  <si>
    <t>F86036</t>
  </si>
  <si>
    <t>F86044</t>
  </si>
  <si>
    <t>F86696</t>
  </si>
  <si>
    <t>F86712</t>
  </si>
  <si>
    <t>F86650</t>
  </si>
  <si>
    <t>F86088</t>
  </si>
  <si>
    <t>WF-4</t>
  </si>
  <si>
    <t>F86621</t>
  </si>
  <si>
    <t>F86045</t>
  </si>
  <si>
    <t>F86701</t>
  </si>
  <si>
    <t>F86625</t>
  </si>
  <si>
    <t>F86666</t>
  </si>
  <si>
    <t>F86705</t>
  </si>
  <si>
    <t>WF-5</t>
  </si>
  <si>
    <t>F86607</t>
  </si>
  <si>
    <t>F86708</t>
  </si>
  <si>
    <t>F86001</t>
  </si>
  <si>
    <t>F86086</t>
  </si>
  <si>
    <t>F86644</t>
  </si>
  <si>
    <t>WF-6</t>
  </si>
  <si>
    <t>F86006</t>
  </si>
  <si>
    <t>F86030</t>
  </si>
  <si>
    <t>F86062</t>
  </si>
  <si>
    <t>F86679</t>
  </si>
  <si>
    <t>F86058</t>
  </si>
  <si>
    <t>WF-7</t>
  </si>
  <si>
    <t>&lt;&lt; Select Date</t>
  </si>
  <si>
    <t>Search titles</t>
  </si>
  <si>
    <t>A. Patients on the diabetes register</t>
  </si>
  <si>
    <t>B. Patients on the COPD register</t>
  </si>
  <si>
    <t>D. Patients on the hypertension register</t>
  </si>
  <si>
    <t>E. Patients on the CHD or Stroke/TIA or PAD register</t>
  </si>
  <si>
    <t>F. Patients on Anticoagulants or Antiplatelets (6m)</t>
  </si>
  <si>
    <t>Metric 6 &amp; 7 share metric 4 as the denomiator</t>
  </si>
  <si>
    <t>Metric 10 &amp; 11 share metric 8 as the denominator</t>
  </si>
  <si>
    <t>Practice/ Network</t>
  </si>
  <si>
    <t>OrgID/networkID</t>
  </si>
  <si>
    <t>All Currently registered regular patients age 18+</t>
  </si>
  <si>
    <t>A. Patient on the diabetes register</t>
  </si>
  <si>
    <t>Type 2 diabetics</t>
  </si>
  <si>
    <t>% 1 Diabetes review recorded or proxy 12m (static figure 1/04/2021)</t>
  </si>
  <si>
    <t>Eligible for triple target</t>
  </si>
  <si>
    <t xml:space="preserve"> % 3 Triple target achieved (static fig 1/04/2021)</t>
  </si>
  <si>
    <t>4 COPD review coded or proxy (MRC) 12m</t>
  </si>
  <si>
    <t>% 4 COPD review coded or proxy(MRC) 12M (static fig 1/04/2021)</t>
  </si>
  <si>
    <t>6 CAT Score &amp; MRC scale recorded</t>
  </si>
  <si>
    <t>% 6 CAT Score &amp; MRC scale recorded (static fig 1/04/2021)</t>
  </si>
  <si>
    <t>7 COPD action plan recorded 12m</t>
  </si>
  <si>
    <t>% 7 COPD action plan recorded 12m (static fig 1/04/2021)</t>
  </si>
  <si>
    <t>8 Asthma review coded or proxy (inhaler technicque) 12m</t>
  </si>
  <si>
    <t>% 8 Asthma review coded or proxy(inhaler technique) 12m (static fig 1/04/2021)</t>
  </si>
  <si>
    <t>10 Asthma Action Plan recorded 12m</t>
  </si>
  <si>
    <t>% 10 Asthma Action Plan recorded 12m (static fig 1/04/2021)</t>
  </si>
  <si>
    <t>11 ACT (Asthma Control Test) recorded (12m)</t>
  </si>
  <si>
    <t>%11 ACT (Asthma Control Test) recorded 12m (static fig 1/04/2021)</t>
  </si>
  <si>
    <t>15 On target</t>
  </si>
  <si>
    <t>% 15 on target (static fig 1/04/2021)</t>
  </si>
  <si>
    <t>% 12 off target, with clinical review(2) (static fig, 1/04/2021)</t>
  </si>
  <si>
    <t>13 Secondary prevention statins prescribed or offered in last 12m</t>
  </si>
  <si>
    <t>%13 Secondary prevention statins prescribed or offered in last 12m (static fig 1/04/2021)</t>
  </si>
  <si>
    <t>Not on Proton Pump Inhibitor (6m)</t>
  </si>
  <si>
    <t>Not on Proton Pump Inhibitor with review (12m)</t>
  </si>
  <si>
    <t>% Not on Proton Pump Inhibitor with review 12m (static fig 1/04/2021)</t>
  </si>
  <si>
    <t>Kings Head Medical Practice</t>
  </si>
  <si>
    <t>Larkshall Medical Centre</t>
  </si>
  <si>
    <t xml:space="preserve"> The Penryhn Surgery</t>
  </si>
  <si>
    <t>Dr Shantir Practice</t>
  </si>
  <si>
    <t>Lime Tree &amp; Sinnott Healthcare Ltd</t>
  </si>
  <si>
    <t>The Bailey Practice</t>
  </si>
  <si>
    <t>Forest Surgery **</t>
  </si>
  <si>
    <t>Chingford/ Walthamstow</t>
  </si>
  <si>
    <t>Handsworth Medical Centre **</t>
  </si>
  <si>
    <t>Chingford Medical Practice</t>
  </si>
  <si>
    <t>Churchill Medical Centre</t>
  </si>
  <si>
    <t>The Ridgeway Surgery</t>
  </si>
  <si>
    <t>Old Church Surgery</t>
  </si>
  <si>
    <t>Chingford E4</t>
  </si>
  <si>
    <t>The Manor Practice</t>
  </si>
  <si>
    <t>Sma Medical Centre</t>
  </si>
  <si>
    <t>Leyton Healthcare (Oliver Road) **</t>
  </si>
  <si>
    <t>Leyton Collaborative</t>
  </si>
  <si>
    <t>The Allum Medical Centre</t>
  </si>
  <si>
    <t xml:space="preserve"> Crawley Road Medical Centre</t>
  </si>
  <si>
    <t>Francis Road Medical Centre</t>
  </si>
  <si>
    <t>Hampton Medical Centre</t>
  </si>
  <si>
    <t>Lime Tree Surgery</t>
  </si>
  <si>
    <t>The Lyndhurst Surgery</t>
  </si>
  <si>
    <t>The Ecclesbourne Practice **</t>
  </si>
  <si>
    <t>Forest Integrated Health</t>
  </si>
  <si>
    <t>Green Man Medical Centre</t>
  </si>
  <si>
    <t>High Road Surgery</t>
  </si>
  <si>
    <t>Kiyani Medical Practice</t>
  </si>
  <si>
    <t>LL Medical Care (Agarwal &amp; Agrwal Practice)</t>
  </si>
  <si>
    <t>The Harrow Road Surgery</t>
  </si>
  <si>
    <t>The Langthorne Sharma Family Practice</t>
  </si>
  <si>
    <t>South Leytonstone</t>
  </si>
  <si>
    <t>Addison Road Medical Practice</t>
  </si>
  <si>
    <t>Claremont Medical Centre</t>
  </si>
  <si>
    <t xml:space="preserve"> The Firs</t>
  </si>
  <si>
    <t>Dr Dhital Practice</t>
  </si>
  <si>
    <t>Waltham Forest Community &amp; Family Health Services Ltd</t>
  </si>
  <si>
    <t>Central Walthamstow</t>
  </si>
  <si>
    <t>Seymour Medical Centre</t>
  </si>
  <si>
    <t xml:space="preserve"> Queens Road Medical Centre</t>
  </si>
  <si>
    <t>Grove Surgery</t>
  </si>
  <si>
    <t>Higham Hill Medical Centre</t>
  </si>
  <si>
    <t>St James Medical Practice Ltd</t>
  </si>
  <si>
    <t>Walthamstow West</t>
  </si>
  <si>
    <t xml:space="preserve">Waltham Forest </t>
  </si>
  <si>
    <t>Data Date:</t>
  </si>
  <si>
    <t>** SystmOne Practice - data not available  for 1/5/2021 &amp; 1/6/2021</t>
  </si>
  <si>
    <t>01/04/2021</t>
  </si>
  <si>
    <t>01/05/2021</t>
  </si>
  <si>
    <t>01/06/2021</t>
  </si>
  <si>
    <t>01/07/2021</t>
  </si>
  <si>
    <t>01/04/2022</t>
  </si>
  <si>
    <t>01/08/2021</t>
  </si>
  <si>
    <t>01/09/2021</t>
  </si>
  <si>
    <t>01/10/2021</t>
  </si>
  <si>
    <t>01/11/2021</t>
  </si>
  <si>
    <t>01/12/2021</t>
  </si>
  <si>
    <t>01/01/2022</t>
  </si>
  <si>
    <t>01/02/2022</t>
  </si>
  <si>
    <t>01/03/2022</t>
  </si>
  <si>
    <t xml:space="preserve"> -</t>
  </si>
  <si>
    <t>Select Practice</t>
  </si>
  <si>
    <t>DN Team</t>
  </si>
  <si>
    <t>Patch</t>
  </si>
  <si>
    <t>selected OrgID</t>
  </si>
  <si>
    <t>ProjectID</t>
  </si>
  <si>
    <t>Rel_D</t>
  </si>
  <si>
    <t>Run_D</t>
  </si>
  <si>
    <t>OrgID</t>
  </si>
  <si>
    <t>All currently registered regular patients aged 18+</t>
  </si>
  <si>
    <t>C. Patients on the asthma register</t>
  </si>
  <si>
    <t>F. Patients on anticoagulants or antiplatelets 6m</t>
  </si>
  <si>
    <t>14 Not on PPI, reviewed</t>
  </si>
  <si>
    <t>SubLocality ID</t>
  </si>
  <si>
    <t>SubLocality</t>
  </si>
  <si>
    <t>Practice</t>
  </si>
  <si>
    <t/>
  </si>
  <si>
    <t>The Ecclesbourne Practice</t>
  </si>
  <si>
    <t>WF_LTC_SNS</t>
  </si>
  <si>
    <t>Queens Road Medical Centre</t>
  </si>
  <si>
    <t>Diabetes Review Target (60%)</t>
  </si>
  <si>
    <t>Triple Target (15%)</t>
  </si>
  <si>
    <t>The Penryhn Surgery</t>
  </si>
  <si>
    <t>Crawley Road Medical Centre</t>
  </si>
  <si>
    <t>The Firs</t>
  </si>
  <si>
    <t>COPD Review Target (80%)</t>
  </si>
  <si>
    <t>CAT Score &amp; MRC Target (58%)</t>
  </si>
  <si>
    <t>COPD action plan Target (55%)</t>
  </si>
  <si>
    <t>Asthma review Target (71%)</t>
  </si>
  <si>
    <t>Asthma Action Plan Target (90%)</t>
  </si>
  <si>
    <t>ACT (Asthma Control Test) Target (80%)</t>
  </si>
  <si>
    <t>Target 50%</t>
  </si>
  <si>
    <t>Clinical Review Target (25%)</t>
  </si>
  <si>
    <t>Secondary prevention statins prescribed or offered Target (49%)</t>
  </si>
  <si>
    <t>Not on Proton Pump Inhibitor but reviewed Target (15%)</t>
  </si>
  <si>
    <t>Row Labels</t>
  </si>
  <si>
    <t>Sum of Type 2 diabetics</t>
  </si>
  <si>
    <t>Sum of diabetes review target</t>
  </si>
  <si>
    <t>Sum of 1 Diabetes review recorded or proxy 12m</t>
  </si>
  <si>
    <t>Sum of Diabetes review%</t>
  </si>
  <si>
    <t>Grand Total</t>
  </si>
  <si>
    <t>Column Labels</t>
  </si>
  <si>
    <t>Total Diabetes Review %</t>
  </si>
  <si>
    <t>Total Target 60%</t>
  </si>
  <si>
    <t>Diabetes Review %</t>
  </si>
  <si>
    <t>Target 60%</t>
  </si>
  <si>
    <t>Total Triple Target %</t>
  </si>
  <si>
    <t>Total Target 15%</t>
  </si>
  <si>
    <t>Triple Target %</t>
  </si>
  <si>
    <t>Target 15%</t>
  </si>
  <si>
    <t>Total COPD Review %</t>
  </si>
  <si>
    <t>Total  Target 80%</t>
  </si>
  <si>
    <t>COPD Review %</t>
  </si>
  <si>
    <t xml:space="preserve"> Target 80%</t>
  </si>
  <si>
    <t>Total COPD Action plan %</t>
  </si>
  <si>
    <t>Total  Target 55%</t>
  </si>
  <si>
    <t>COPD Action plan %</t>
  </si>
  <si>
    <t xml:space="preserve"> Target 55%</t>
  </si>
  <si>
    <t>Total COPD CAT Score %</t>
  </si>
  <si>
    <t>Total  Target 58%</t>
  </si>
  <si>
    <t>COPD CAT Score %</t>
  </si>
  <si>
    <t xml:space="preserve"> Target 58%</t>
  </si>
  <si>
    <t>Total Asthma Review  %</t>
  </si>
  <si>
    <t>Total Target 71%</t>
  </si>
  <si>
    <t>Asthma Review  %</t>
  </si>
  <si>
    <t>Target 71%</t>
  </si>
  <si>
    <t>Total Asthma Action plan  %</t>
  </si>
  <si>
    <t>Total Target 90%</t>
  </si>
  <si>
    <t>Asthma Action plan  %</t>
  </si>
  <si>
    <t>Target 90%</t>
  </si>
  <si>
    <t>Total ACT %</t>
  </si>
  <si>
    <t>Total Target  80%</t>
  </si>
  <si>
    <t>ACT %</t>
  </si>
  <si>
    <t>Target  80%</t>
  </si>
  <si>
    <t>Total 15 On Target %</t>
  </si>
  <si>
    <t>Total Target 50%</t>
  </si>
  <si>
    <t>15 On Target %</t>
  </si>
  <si>
    <t>Total 12 Off Target  %</t>
  </si>
  <si>
    <t>Total Target 25%</t>
  </si>
  <si>
    <t>12 Off Target  %</t>
  </si>
  <si>
    <t>Target 25%</t>
  </si>
  <si>
    <t>Total CHD  %</t>
  </si>
  <si>
    <t>Total Target 49%</t>
  </si>
  <si>
    <t>CHD  %</t>
  </si>
  <si>
    <t>Target 49%</t>
  </si>
  <si>
    <t>Total Not on PPI %</t>
  </si>
  <si>
    <t>Not on PPI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</si>
</sst>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dd/mm/yyyy;@"/>
  </numFmts>
  <fonts count="35">
    <font>
      <sz val="11"/>
      <color theme="1"/>
      <name val="Calibri"/>
      <family val="2"/>
      <scheme val="minor"/>
    </font>
    <font>
      <sz val="11"/>
      <color theme="1"/>
      <name val="Calibri"/>
      <family val="2"/>
      <scheme val="minor"/>
    </font>
    <font>
      <b/>
      <sz val="11"/>
      <color theme="1"/>
      <name val="Calibri"/>
      <family val="2"/>
      <scheme val="minor"/>
    </font>
    <font>
      <b/>
      <sz val="11"/>
      <color theme="8" tint="-0.249977111117893"/>
      <name val="Calibri"/>
      <family val="2"/>
      <scheme val="minor"/>
    </font>
    <font>
      <b/>
      <sz val="22"/>
      <color theme="0"/>
      <name val="Calibri"/>
      <family val="2"/>
      <scheme val="minor"/>
    </font>
    <font>
      <b/>
      <sz val="18"/>
      <color theme="0"/>
      <name val="Calibri"/>
      <family val="2"/>
      <scheme val="minor"/>
    </font>
    <font>
      <b/>
      <sz val="11"/>
      <color theme="8" tint="-0.499984740745262"/>
      <name val="Calibri"/>
      <family val="2"/>
      <scheme val="minor"/>
    </font>
    <font>
      <sz val="11"/>
      <color rgb="FF000000"/>
      <name val="Calibri"/>
      <family val="2"/>
    </font>
    <font>
      <sz val="10"/>
      <color theme="1"/>
      <name val="Calibri"/>
      <family val="2"/>
      <scheme val="minor"/>
    </font>
    <font>
      <b/>
      <sz val="11"/>
      <color theme="0" tint="-0.499984740745262"/>
      <name val="Calibri"/>
      <family val="2"/>
      <scheme val="minor"/>
    </font>
    <font>
      <b/>
      <sz val="12"/>
      <color theme="1"/>
      <name val="Calibri"/>
      <family val="2"/>
      <scheme val="minor"/>
    </font>
    <font>
      <b/>
      <sz val="36"/>
      <color theme="0"/>
      <name val="Calibri"/>
      <family val="2"/>
      <scheme val="minor"/>
    </font>
    <font>
      <b/>
      <sz val="12"/>
      <color theme="0" tint="-0.499984740745262"/>
      <name val="Calibri"/>
      <family val="2"/>
      <scheme val="minor"/>
    </font>
    <font>
      <b/>
      <sz val="12"/>
      <color theme="8" tint="-0.249977111117893"/>
      <name val="Calibri"/>
      <family val="2"/>
      <scheme val="minor"/>
    </font>
    <font>
      <sz val="11"/>
      <color theme="8" tint="-0.249977111117893"/>
      <name val="Calibri"/>
      <family val="2"/>
      <scheme val="minor"/>
    </font>
    <font>
      <sz val="36"/>
      <color theme="1"/>
      <name val="Calibri"/>
      <family val="2"/>
      <scheme val="minor"/>
    </font>
    <font>
      <b/>
      <sz val="30"/>
      <color theme="0"/>
      <name val="Calibri"/>
      <family val="2"/>
      <scheme val="minor"/>
    </font>
    <font>
      <b/>
      <sz val="11"/>
      <color rgb="FF1F497D"/>
      <name val="Calibri"/>
      <family val="2"/>
      <scheme val="minor"/>
    </font>
    <font>
      <sz val="11"/>
      <color rgb="FF1F497D"/>
      <name val="Calibri"/>
      <family val="2"/>
      <scheme val="minor"/>
    </font>
    <font>
      <b/>
      <sz val="11"/>
      <color theme="3"/>
      <name val="Calibri"/>
      <family val="2"/>
      <scheme val="minor"/>
    </font>
    <font>
      <sz val="11"/>
      <name val="Calibri"/>
      <family val="2"/>
      <scheme val="minor"/>
    </font>
    <font>
      <sz val="11"/>
      <color theme="3"/>
      <name val="Calibri"/>
      <family val="2"/>
      <scheme val="minor"/>
    </font>
    <font>
      <b/>
      <sz val="10"/>
      <name val="Calibri"/>
      <family val="2"/>
      <scheme val="minor"/>
    </font>
    <font>
      <b/>
      <sz val="14"/>
      <color theme="0"/>
      <name val="Calibri"/>
      <family val="2"/>
      <scheme val="minor"/>
    </font>
    <font>
      <b/>
      <sz val="14"/>
      <color rgb="FF002060"/>
      <name val="Calibri"/>
      <family val="2"/>
      <scheme val="minor"/>
    </font>
    <font>
      <sz val="14"/>
      <color theme="1"/>
      <name val="Calibri"/>
      <family val="2"/>
      <scheme val="minor"/>
    </font>
    <font>
      <b/>
      <sz val="12"/>
      <color theme="1" tint="0.249977111117893"/>
      <name val="Calibri"/>
      <family val="2"/>
      <scheme val="minor"/>
    </font>
    <font>
      <b/>
      <sz val="11"/>
      <color theme="1" tint="0.249977111117893"/>
      <name val="Calibri"/>
      <family val="2"/>
      <scheme val="minor"/>
    </font>
    <font>
      <b/>
      <sz val="12"/>
      <color theme="8" tint="-0.499984740745262"/>
      <name val="Calibri"/>
      <family val="2"/>
      <scheme val="minor"/>
    </font>
    <font>
      <i/>
      <sz val="9"/>
      <color theme="1"/>
      <name val="Calibri"/>
      <family val="2"/>
      <scheme val="minor"/>
    </font>
    <font>
      <sz val="11"/>
      <color theme="1"/>
      <name val="Franklin Gothic Book"/>
      <family val="2"/>
    </font>
    <font>
      <b/>
      <sz val="14"/>
      <color rgb="FF002060"/>
      <name val="Franklin Gothic Book"/>
      <family val="2"/>
    </font>
    <font>
      <sz val="8"/>
      <color theme="8" tint="-0.499984740745262"/>
      <name val="Calibri"/>
      <family val="2"/>
      <scheme val="minor"/>
    </font>
    <font>
      <sz val="8"/>
      <color theme="8" tint="-0.499984740745262"/>
      <name val="Franklin Gothic Book"/>
      <family val="2"/>
    </font>
    <font>
      <b/>
      <sz val="12"/>
      <color theme="0"/>
      <name val="Calibri"/>
      <family val="2"/>
      <scheme val="minor"/>
    </font>
  </fonts>
  <fills count="20">
    <fill>
      <patternFill patternType="none"/>
    </fill>
    <fill>
      <patternFill patternType="gray125"/>
    </fill>
    <fill>
      <patternFill patternType="solid">
        <fgColor theme="0"/>
        <bgColor indexed="64"/>
      </patternFill>
    </fill>
    <fill>
      <patternFill patternType="solid">
        <fgColor theme="7" tint="0.39997558519241921"/>
        <bgColor indexed="64"/>
      </patternFill>
    </fill>
    <fill>
      <patternFill patternType="solid">
        <fgColor theme="0" tint="-4.9989318521683403E-2"/>
        <bgColor indexed="64"/>
      </patternFill>
    </fill>
    <fill>
      <patternFill patternType="solid">
        <fgColor theme="8" tint="-0.249977111117893"/>
        <bgColor indexed="64"/>
      </patternFill>
    </fill>
    <fill>
      <patternFill patternType="solid">
        <fgColor theme="0" tint="-0.14999847407452621"/>
        <bgColor indexed="64"/>
      </patternFill>
    </fill>
    <fill>
      <patternFill patternType="solid">
        <fgColor rgb="FFB0DFE5"/>
        <bgColor indexed="64"/>
      </patternFill>
    </fill>
    <fill>
      <patternFill patternType="solid">
        <fgColor theme="7" tint="0.79998168889431442"/>
        <bgColor indexed="64"/>
      </patternFill>
    </fill>
    <fill>
      <patternFill patternType="solid">
        <fgColor theme="9" tint="0.79998168889431442"/>
        <bgColor indexed="64"/>
      </patternFill>
    </fill>
    <fill>
      <patternFill patternType="solid">
        <fgColor theme="5" tint="0.79998168889431442"/>
        <bgColor indexed="64"/>
      </patternFill>
    </fill>
    <fill>
      <patternFill patternType="solid">
        <fgColor rgb="FFC0F9FA"/>
        <bgColor indexed="64"/>
      </patternFill>
    </fill>
    <fill>
      <patternFill patternType="solid">
        <fgColor rgb="FFB3D8E3"/>
        <bgColor indexed="64"/>
      </patternFill>
    </fill>
    <fill>
      <patternFill patternType="solid">
        <fgColor theme="3" tint="0.79998168889431442"/>
        <bgColor indexed="64"/>
      </patternFill>
    </fill>
    <fill>
      <patternFill patternType="solid">
        <fgColor rgb="FFFFF5CC"/>
        <bgColor indexed="64"/>
      </patternFill>
    </fill>
    <fill>
      <patternFill patternType="solid">
        <fgColor rgb="FFE2EFDA"/>
        <bgColor indexed="64"/>
      </patternFill>
    </fill>
    <fill>
      <patternFill patternType="solid">
        <fgColor rgb="FFF7F7F7"/>
        <bgColor indexed="64"/>
      </patternFill>
    </fill>
    <fill>
      <patternFill patternType="solid">
        <fgColor rgb="FFF2F2F2"/>
        <bgColor indexed="64"/>
      </patternFill>
    </fill>
    <fill>
      <patternFill patternType="solid">
        <fgColor rgb="FFF5F5F5"/>
        <bgColor indexed="64"/>
      </patternFill>
    </fill>
    <fill>
      <patternFill patternType="solid">
        <fgColor rgb="FFFFFF00"/>
        <bgColor indexed="64"/>
      </patternFill>
    </fill>
  </fills>
  <borders count="233">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theme="0" tint="-0.14996795556505021"/>
      </right>
      <top style="thin">
        <color theme="0" tint="-0.14996795556505021"/>
      </top>
      <bottom style="thin">
        <color theme="0" tint="-0.14996795556505021"/>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thin">
        <color theme="0" tint="-0.14996795556505021"/>
      </left>
      <right/>
      <top style="thin">
        <color theme="0" tint="-0.14996795556505021"/>
      </top>
      <bottom style="thin">
        <color theme="0" tint="-0.14996795556505021"/>
      </bottom>
      <diagonal/>
    </border>
    <border>
      <left/>
      <right style="thin">
        <color theme="0" tint="-0.14996795556505021"/>
      </right>
      <top style="thin">
        <color theme="0" tint="-0.14996795556505021"/>
      </top>
      <bottom/>
      <diagonal/>
    </border>
    <border>
      <left style="thin">
        <color theme="0" tint="-0.14996795556505021"/>
      </left>
      <right style="thin">
        <color theme="0" tint="-0.14996795556505021"/>
      </right>
      <top style="thin">
        <color theme="0" tint="-0.14996795556505021"/>
      </top>
      <bottom/>
      <diagonal/>
    </border>
    <border>
      <left style="thin">
        <color theme="0" tint="-0.14996795556505021"/>
      </left>
      <right/>
      <top style="thin">
        <color theme="0" tint="-0.14996795556505021"/>
      </top>
      <bottom/>
      <diagonal/>
    </border>
    <border>
      <left/>
      <right style="thin">
        <color theme="8" tint="0.59996337778862885"/>
      </right>
      <top/>
      <bottom/>
      <diagonal/>
    </border>
    <border>
      <left style="thin">
        <color theme="0" tint="-0.14996795556505021"/>
      </left>
      <right style="thin">
        <color theme="0" tint="-0.14996795556505021"/>
      </right>
      <top/>
      <bottom/>
      <diagonal/>
    </border>
    <border>
      <left/>
      <right style="thin">
        <color theme="0" tint="-0.14996795556505021"/>
      </right>
      <top/>
      <bottom style="thin">
        <color theme="0" tint="-0.14996795556505021"/>
      </bottom>
      <diagonal/>
    </border>
    <border>
      <left style="thin">
        <color theme="0" tint="-0.14996795556505021"/>
      </left>
      <right style="thin">
        <color theme="0" tint="-0.14996795556505021"/>
      </right>
      <top/>
      <bottom style="thin">
        <color theme="0" tint="-0.14996795556505021"/>
      </bottom>
      <diagonal/>
    </border>
    <border>
      <left style="thin">
        <color theme="0" tint="-0.14996795556505021"/>
      </left>
      <right/>
      <top/>
      <bottom style="thin">
        <color theme="0" tint="-0.14996795556505021"/>
      </bottom>
      <diagonal/>
    </border>
    <border>
      <left/>
      <right style="thin">
        <color theme="0" tint="-0.14996795556505021"/>
      </right>
      <top style="mediumDashed">
        <color theme="0" tint="-0.499984740745262"/>
      </top>
      <bottom style="mediumDashed">
        <color theme="0" tint="-0.499984740745262"/>
      </bottom>
      <diagonal/>
    </border>
    <border>
      <left style="thin">
        <color theme="0" tint="-0.14996795556505021"/>
      </left>
      <right style="thin">
        <color theme="0" tint="-0.14996795556505021"/>
      </right>
      <top style="mediumDashed">
        <color theme="0" tint="-0.499984740745262"/>
      </top>
      <bottom style="mediumDashed">
        <color theme="0" tint="-0.499984740745262"/>
      </bottom>
      <diagonal/>
    </border>
    <border>
      <left style="thin">
        <color theme="0" tint="-0.14996795556505021"/>
      </left>
      <right/>
      <top style="mediumDashed">
        <color theme="0" tint="-0.499984740745262"/>
      </top>
      <bottom style="mediumDashed">
        <color theme="0" tint="-0.499984740745262"/>
      </bottom>
      <diagonal/>
    </border>
    <border>
      <left style="mediumDashed">
        <color theme="1" tint="0.499984740745262"/>
      </left>
      <right/>
      <top style="mediumDashed">
        <color theme="1" tint="0.499984740745262"/>
      </top>
      <bottom/>
      <diagonal/>
    </border>
    <border>
      <left style="mediumDashed">
        <color theme="0" tint="-0.14993743705557422"/>
      </left>
      <right/>
      <top style="mediumDashed">
        <color theme="1" tint="0.499984740745262"/>
      </top>
      <bottom/>
      <diagonal/>
    </border>
    <border>
      <left style="dotted">
        <color theme="0" tint="-0.14996795556505021"/>
      </left>
      <right/>
      <top style="mediumDashed">
        <color theme="1" tint="0.499984740745262"/>
      </top>
      <bottom/>
      <diagonal/>
    </border>
    <border>
      <left/>
      <right style="dotted">
        <color theme="0" tint="-0.14996795556505021"/>
      </right>
      <top style="mediumDashed">
        <color theme="1" tint="0.499984740745262"/>
      </top>
      <bottom/>
      <diagonal/>
    </border>
    <border>
      <left style="dotted">
        <color theme="0" tint="-0.14996795556505021"/>
      </left>
      <right style="dotted">
        <color theme="0" tint="-0.14996795556505021"/>
      </right>
      <top style="mediumDashed">
        <color theme="1" tint="0.499984740745262"/>
      </top>
      <bottom/>
      <diagonal/>
    </border>
    <border>
      <left style="medium">
        <color indexed="64"/>
      </left>
      <right style="thin">
        <color theme="0" tint="-0.14996795556505021"/>
      </right>
      <top style="medium">
        <color indexed="64"/>
      </top>
      <bottom style="thin">
        <color theme="0" tint="-0.14996795556505021"/>
      </bottom>
      <diagonal/>
    </border>
    <border>
      <left style="thin">
        <color theme="0" tint="-0.14996795556505021"/>
      </left>
      <right style="thin">
        <color theme="0" tint="-0.14996795556505021"/>
      </right>
      <top style="medium">
        <color indexed="64"/>
      </top>
      <bottom style="thin">
        <color theme="0" tint="-0.14996795556505021"/>
      </bottom>
      <diagonal/>
    </border>
    <border>
      <left style="thin">
        <color theme="0" tint="-0.14996795556505021"/>
      </left>
      <right/>
      <top style="medium">
        <color indexed="64"/>
      </top>
      <bottom style="thin">
        <color theme="0" tint="-0.14996795556505021"/>
      </bottom>
      <diagonal/>
    </border>
    <border>
      <left/>
      <right style="thin">
        <color theme="0" tint="-0.14996795556505021"/>
      </right>
      <top style="medium">
        <color indexed="64"/>
      </top>
      <bottom style="thin">
        <color theme="0" tint="-0.14996795556505021"/>
      </bottom>
      <diagonal/>
    </border>
    <border>
      <left style="medium">
        <color indexed="64"/>
      </left>
      <right style="thin">
        <color theme="0" tint="-0.14996795556505021"/>
      </right>
      <top style="thin">
        <color theme="0" tint="-0.14996795556505021"/>
      </top>
      <bottom style="thin">
        <color theme="0" tint="-0.14996795556505021"/>
      </bottom>
      <diagonal/>
    </border>
    <border>
      <left style="medium">
        <color indexed="64"/>
      </left>
      <right style="thin">
        <color theme="0" tint="-0.14996795556505021"/>
      </right>
      <top style="thin">
        <color theme="0" tint="-0.14996795556505021"/>
      </top>
      <bottom/>
      <diagonal/>
    </border>
    <border>
      <left style="medium">
        <color indexed="64"/>
      </left>
      <right style="thin">
        <color theme="0" tint="-0.14996795556505021"/>
      </right>
      <top style="mediumDashed">
        <color theme="0" tint="-0.499984740745262"/>
      </top>
      <bottom style="mediumDashed">
        <color theme="0" tint="-0.499984740745262"/>
      </bottom>
      <diagonal/>
    </border>
    <border>
      <left style="medium">
        <color indexed="64"/>
      </left>
      <right style="thin">
        <color theme="0" tint="-0.14996795556505021"/>
      </right>
      <top/>
      <bottom style="thin">
        <color theme="0" tint="-0.14996795556505021"/>
      </bottom>
      <diagonal/>
    </border>
    <border>
      <left style="medium">
        <color indexed="64"/>
      </left>
      <right style="thin">
        <color theme="0" tint="-0.14996795556505021"/>
      </right>
      <top/>
      <bottom style="medium">
        <color indexed="64"/>
      </bottom>
      <diagonal/>
    </border>
    <border>
      <left style="thin">
        <color theme="0" tint="-0.14996795556505021"/>
      </left>
      <right style="thin">
        <color theme="0" tint="-0.14996795556505021"/>
      </right>
      <top/>
      <bottom style="medium">
        <color indexed="64"/>
      </bottom>
      <diagonal/>
    </border>
    <border>
      <left style="thin">
        <color theme="0" tint="-0.14996795556505021"/>
      </left>
      <right/>
      <top/>
      <bottom style="medium">
        <color indexed="64"/>
      </bottom>
      <diagonal/>
    </border>
    <border>
      <left/>
      <right style="thin">
        <color theme="0" tint="-0.14996795556505021"/>
      </right>
      <top style="mediumDashed">
        <color theme="0" tint="-0.499984740745262"/>
      </top>
      <bottom style="thin">
        <color theme="0" tint="-0.14996795556505021"/>
      </bottom>
      <diagonal/>
    </border>
    <border>
      <left style="hair">
        <color indexed="64"/>
      </left>
      <right style="hair">
        <color indexed="64"/>
      </right>
      <top style="hair">
        <color indexed="64"/>
      </top>
      <bottom style="hair">
        <color indexed="64"/>
      </bottom>
      <diagonal/>
    </border>
    <border>
      <left/>
      <right/>
      <top/>
      <bottom style="thin">
        <color theme="0" tint="-0.14996795556505021"/>
      </bottom>
      <diagonal/>
    </border>
    <border>
      <left style="hair">
        <color auto="1"/>
      </left>
      <right style="hair">
        <color auto="1"/>
      </right>
      <top style="hair">
        <color theme="0" tint="-0.14996795556505021"/>
      </top>
      <bottom style="hair">
        <color auto="1"/>
      </bottom>
      <diagonal/>
    </border>
    <border>
      <left style="hair">
        <color indexed="64"/>
      </left>
      <right/>
      <top style="hair">
        <color indexed="64"/>
      </top>
      <bottom style="hair">
        <color indexed="64"/>
      </bottom>
      <diagonal/>
    </border>
    <border>
      <left style="hair">
        <color auto="1"/>
      </left>
      <right style="hair">
        <color auto="1"/>
      </right>
      <top style="hair">
        <color auto="1"/>
      </top>
      <bottom style="medium">
        <color theme="0" tint="-0.1498764000366222"/>
      </bottom>
      <diagonal/>
    </border>
    <border>
      <left style="hair">
        <color auto="1"/>
      </left>
      <right/>
      <top style="hair">
        <color auto="1"/>
      </top>
      <bottom style="medium">
        <color theme="0" tint="-0.1498764000366222"/>
      </bottom>
      <diagonal/>
    </border>
    <border>
      <left/>
      <right style="hair">
        <color auto="1"/>
      </right>
      <top style="hair">
        <color auto="1"/>
      </top>
      <bottom style="medium">
        <color theme="0" tint="-0.1498764000366222"/>
      </bottom>
      <diagonal/>
    </border>
    <border>
      <left/>
      <right style="medium">
        <color theme="0" tint="-0.1498458815271462"/>
      </right>
      <top style="hair">
        <color indexed="64"/>
      </top>
      <bottom style="hair">
        <color indexed="64"/>
      </bottom>
      <diagonal/>
    </border>
    <border>
      <left/>
      <right style="medium">
        <color theme="0" tint="-0.1498458815271462"/>
      </right>
      <top style="hair">
        <color auto="1"/>
      </top>
      <bottom style="medium">
        <color theme="0" tint="-0.1498764000366222"/>
      </bottom>
      <diagonal/>
    </border>
    <border>
      <left style="medium">
        <color theme="0" tint="-0.1498458815271462"/>
      </left>
      <right style="hair">
        <color auto="1"/>
      </right>
      <top style="hair">
        <color theme="0" tint="-0.14996795556505021"/>
      </top>
      <bottom style="hair">
        <color auto="1"/>
      </bottom>
      <diagonal/>
    </border>
    <border>
      <left style="hair">
        <color auto="1"/>
      </left>
      <right style="medium">
        <color theme="0" tint="-0.14981536301767021"/>
      </right>
      <top style="hair">
        <color theme="0" tint="-0.14996795556505021"/>
      </top>
      <bottom style="hair">
        <color auto="1"/>
      </bottom>
      <diagonal/>
    </border>
    <border>
      <left style="medium">
        <color theme="0" tint="-0.1498458815271462"/>
      </left>
      <right style="hair">
        <color indexed="64"/>
      </right>
      <top style="hair">
        <color indexed="64"/>
      </top>
      <bottom style="hair">
        <color indexed="64"/>
      </bottom>
      <diagonal/>
    </border>
    <border>
      <left style="hair">
        <color indexed="64"/>
      </left>
      <right style="medium">
        <color theme="0" tint="-0.14981536301767021"/>
      </right>
      <top style="hair">
        <color indexed="64"/>
      </top>
      <bottom style="hair">
        <color indexed="64"/>
      </bottom>
      <diagonal/>
    </border>
    <border>
      <left style="medium">
        <color theme="0" tint="-0.1498458815271462"/>
      </left>
      <right style="hair">
        <color auto="1"/>
      </right>
      <top style="hair">
        <color auto="1"/>
      </top>
      <bottom style="medium">
        <color theme="0" tint="-0.1498764000366222"/>
      </bottom>
      <diagonal/>
    </border>
    <border>
      <left style="hair">
        <color auto="1"/>
      </left>
      <right style="medium">
        <color theme="0" tint="-0.14981536301767021"/>
      </right>
      <top style="hair">
        <color auto="1"/>
      </top>
      <bottom style="medium">
        <color theme="0" tint="-0.1498764000366222"/>
      </bottom>
      <diagonal/>
    </border>
    <border>
      <left style="medium">
        <color theme="0" tint="-0.14981536301767021"/>
      </left>
      <right style="hair">
        <color auto="1"/>
      </right>
      <top style="hair">
        <color theme="0" tint="-0.14996795556505021"/>
      </top>
      <bottom style="hair">
        <color auto="1"/>
      </bottom>
      <diagonal/>
    </border>
    <border>
      <left style="hair">
        <color auto="1"/>
      </left>
      <right style="medium">
        <color theme="0" tint="-0.14978484450819421"/>
      </right>
      <top style="hair">
        <color theme="0" tint="-0.14996795556505021"/>
      </top>
      <bottom style="hair">
        <color auto="1"/>
      </bottom>
      <diagonal/>
    </border>
    <border>
      <left style="medium">
        <color theme="0" tint="-0.14981536301767021"/>
      </left>
      <right style="hair">
        <color indexed="64"/>
      </right>
      <top style="hair">
        <color indexed="64"/>
      </top>
      <bottom style="hair">
        <color indexed="64"/>
      </bottom>
      <diagonal/>
    </border>
    <border>
      <left style="hair">
        <color indexed="64"/>
      </left>
      <right style="medium">
        <color theme="0" tint="-0.14978484450819421"/>
      </right>
      <top style="hair">
        <color indexed="64"/>
      </top>
      <bottom style="hair">
        <color indexed="64"/>
      </bottom>
      <diagonal/>
    </border>
    <border>
      <left style="medium">
        <color theme="0" tint="-0.14981536301767021"/>
      </left>
      <right style="hair">
        <color auto="1"/>
      </right>
      <top style="hair">
        <color auto="1"/>
      </top>
      <bottom style="medium">
        <color theme="0" tint="-0.1498764000366222"/>
      </bottom>
      <diagonal/>
    </border>
    <border>
      <left style="hair">
        <color auto="1"/>
      </left>
      <right style="medium">
        <color theme="0" tint="-0.14978484450819421"/>
      </right>
      <top style="hair">
        <color auto="1"/>
      </top>
      <bottom style="medium">
        <color theme="0" tint="-0.1498764000366222"/>
      </bottom>
      <diagonal/>
    </border>
    <border>
      <left/>
      <right/>
      <top style="mediumDashed">
        <color theme="1" tint="0.499984740745262"/>
      </top>
      <bottom/>
      <diagonal/>
    </border>
    <border>
      <left/>
      <right style="medium">
        <color theme="0" tint="-0.1498458815271462"/>
      </right>
      <top style="mediumDashed">
        <color theme="1" tint="0.499984740745262"/>
      </top>
      <bottom/>
      <diagonal/>
    </border>
    <border>
      <left/>
      <right style="medium">
        <color theme="0" tint="-0.1498458815271462"/>
      </right>
      <top/>
      <bottom style="thin">
        <color theme="0" tint="-0.14996795556505021"/>
      </bottom>
      <diagonal/>
    </border>
    <border>
      <left style="medium">
        <color theme="0" tint="-0.1498458815271462"/>
      </left>
      <right style="hair">
        <color theme="0" tint="-0.24994659260841701"/>
      </right>
      <top style="mediumDashed">
        <color theme="1" tint="0.499984740745262"/>
      </top>
      <bottom/>
      <diagonal/>
    </border>
    <border>
      <left style="hair">
        <color theme="0" tint="-0.24994659260841701"/>
      </left>
      <right style="hair">
        <color theme="0" tint="-0.24994659260841701"/>
      </right>
      <top style="mediumDashed">
        <color theme="1" tint="0.499984740745262"/>
      </top>
      <bottom/>
      <diagonal/>
    </border>
    <border>
      <left style="medium">
        <color theme="0" tint="-0.1498458815271462"/>
      </left>
      <right style="hair">
        <color theme="0" tint="-0.24994659260841701"/>
      </right>
      <top/>
      <bottom style="thin">
        <color theme="0" tint="-0.14996795556505021"/>
      </bottom>
      <diagonal/>
    </border>
    <border>
      <left style="hair">
        <color theme="0" tint="-0.24994659260841701"/>
      </left>
      <right style="hair">
        <color theme="0" tint="-0.24994659260841701"/>
      </right>
      <top/>
      <bottom style="thin">
        <color theme="0" tint="-0.14996795556505021"/>
      </bottom>
      <diagonal/>
    </border>
    <border>
      <left style="hair">
        <color auto="1"/>
      </left>
      <right/>
      <top style="thin">
        <color theme="0" tint="-0.14996795556505021"/>
      </top>
      <bottom style="hair">
        <color auto="1"/>
      </bottom>
      <diagonal/>
    </border>
    <border>
      <left/>
      <right style="medium">
        <color theme="0" tint="-0.1498458815271462"/>
      </right>
      <top style="thin">
        <color theme="0" tint="-0.14996795556505021"/>
      </top>
      <bottom style="hair">
        <color auto="1"/>
      </bottom>
      <diagonal/>
    </border>
    <border>
      <left style="medium">
        <color theme="0" tint="-0.14978484450819421"/>
      </left>
      <right/>
      <top style="thin">
        <color theme="0" tint="-0.14996795556505021"/>
      </top>
      <bottom style="hair">
        <color auto="1"/>
      </bottom>
      <diagonal/>
    </border>
    <border>
      <left/>
      <right style="medium">
        <color theme="0" tint="-0.14975432599871821"/>
      </right>
      <top style="thin">
        <color theme="0" tint="-0.14996795556505021"/>
      </top>
      <bottom style="hair">
        <color auto="1"/>
      </bottom>
      <diagonal/>
    </border>
    <border>
      <left style="medium">
        <color theme="0" tint="-0.14978484450819421"/>
      </left>
      <right/>
      <top style="hair">
        <color indexed="64"/>
      </top>
      <bottom style="hair">
        <color indexed="64"/>
      </bottom>
      <diagonal/>
    </border>
    <border>
      <left/>
      <right style="medium">
        <color theme="0" tint="-0.14975432599871821"/>
      </right>
      <top style="hair">
        <color indexed="64"/>
      </top>
      <bottom style="hair">
        <color indexed="64"/>
      </bottom>
      <diagonal/>
    </border>
    <border>
      <left style="medium">
        <color theme="0" tint="-0.14978484450819421"/>
      </left>
      <right/>
      <top style="hair">
        <color auto="1"/>
      </top>
      <bottom style="medium">
        <color theme="0" tint="-0.1498764000366222"/>
      </bottom>
      <diagonal/>
    </border>
    <border>
      <left/>
      <right style="medium">
        <color theme="0" tint="-0.14975432599871821"/>
      </right>
      <top style="hair">
        <color auto="1"/>
      </top>
      <bottom style="medium">
        <color theme="0" tint="-0.1498764000366222"/>
      </bottom>
      <diagonal/>
    </border>
    <border>
      <left/>
      <right/>
      <top style="medium">
        <color indexed="64"/>
      </top>
      <bottom style="thin">
        <color theme="0" tint="-0.14996795556505021"/>
      </bottom>
      <diagonal/>
    </border>
    <border>
      <left/>
      <right/>
      <top style="thin">
        <color theme="0" tint="-0.14996795556505021"/>
      </top>
      <bottom style="thin">
        <color theme="0" tint="-0.14996795556505021"/>
      </bottom>
      <diagonal/>
    </border>
    <border>
      <left/>
      <right/>
      <top style="thin">
        <color theme="0" tint="-0.14996795556505021"/>
      </top>
      <bottom/>
      <diagonal/>
    </border>
    <border>
      <left/>
      <right/>
      <top style="mediumDashed">
        <color theme="0" tint="-0.499984740745262"/>
      </top>
      <bottom style="mediumDashed">
        <color theme="0" tint="-0.499984740745262"/>
      </bottom>
      <diagonal/>
    </border>
    <border>
      <left/>
      <right/>
      <top/>
      <bottom style="mediumDashed">
        <color theme="1" tint="0.499984740745262"/>
      </bottom>
      <diagonal/>
    </border>
    <border>
      <left style="thin">
        <color theme="0" tint="-0.14996795556505021"/>
      </left>
      <right/>
      <top/>
      <bottom/>
      <diagonal/>
    </border>
    <border>
      <left style="medium">
        <color theme="9"/>
      </left>
      <right/>
      <top/>
      <bottom style="mediumDashed">
        <color theme="1" tint="0.499984740745262"/>
      </bottom>
      <diagonal/>
    </border>
    <border>
      <left/>
      <right style="medium">
        <color theme="9"/>
      </right>
      <top/>
      <bottom style="mediumDashed">
        <color theme="1" tint="0.499984740745262"/>
      </bottom>
      <diagonal/>
    </border>
    <border>
      <left style="medium">
        <color theme="9"/>
      </left>
      <right/>
      <top/>
      <bottom style="medium">
        <color indexed="64"/>
      </bottom>
      <diagonal/>
    </border>
    <border>
      <left style="thin">
        <color theme="0" tint="-0.14996795556505021"/>
      </left>
      <right style="medium">
        <color rgb="FF89CFF0"/>
      </right>
      <top style="thin">
        <color theme="0" tint="-0.14996795556505021"/>
      </top>
      <bottom style="thin">
        <color theme="0" tint="-0.14996795556505021"/>
      </bottom>
      <diagonal/>
    </border>
    <border>
      <left style="thin">
        <color theme="0" tint="-0.14996795556505021"/>
      </left>
      <right style="medium">
        <color rgb="FF89CFF0"/>
      </right>
      <top style="thin">
        <color theme="0" tint="-0.14996795556505021"/>
      </top>
      <bottom/>
      <diagonal/>
    </border>
    <border>
      <left style="thin">
        <color theme="0" tint="-0.14996795556505021"/>
      </left>
      <right style="medium">
        <color rgb="FF89CFF0"/>
      </right>
      <top style="mediumDashed">
        <color theme="0" tint="-0.499984740745262"/>
      </top>
      <bottom style="mediumDashed">
        <color theme="0" tint="-0.499984740745262"/>
      </bottom>
      <diagonal/>
    </border>
    <border>
      <left style="thin">
        <color theme="0" tint="-0.14996795556505021"/>
      </left>
      <right style="medium">
        <color rgb="FF89CFF0"/>
      </right>
      <top/>
      <bottom style="thin">
        <color theme="0" tint="-0.14996795556505021"/>
      </bottom>
      <diagonal/>
    </border>
    <border>
      <left style="thin">
        <color theme="0" tint="-0.14996795556505021"/>
      </left>
      <right style="medium">
        <color rgb="FF89CFF0"/>
      </right>
      <top/>
      <bottom/>
      <diagonal/>
    </border>
    <border>
      <left style="medium">
        <color rgb="FF89CFF0"/>
      </left>
      <right/>
      <top/>
      <bottom style="mediumDashed">
        <color theme="1" tint="0.499984740745262"/>
      </bottom>
      <diagonal/>
    </border>
    <border>
      <left style="medium">
        <color rgb="FF89CFF0"/>
      </left>
      <right/>
      <top style="medium">
        <color indexed="64"/>
      </top>
      <bottom style="thin">
        <color theme="0" tint="-0.14996795556505021"/>
      </bottom>
      <diagonal/>
    </border>
    <border>
      <left style="medium">
        <color rgb="FF89CFF0"/>
      </left>
      <right/>
      <top style="thin">
        <color theme="0" tint="-0.14996795556505021"/>
      </top>
      <bottom style="thin">
        <color theme="0" tint="-0.14996795556505021"/>
      </bottom>
      <diagonal/>
    </border>
    <border>
      <left style="medium">
        <color rgb="FF89CFF0"/>
      </left>
      <right/>
      <top style="thin">
        <color theme="0" tint="-0.14996795556505021"/>
      </top>
      <bottom/>
      <diagonal/>
    </border>
    <border>
      <left style="medium">
        <color rgb="FF89CFF0"/>
      </left>
      <right/>
      <top style="mediumDashed">
        <color theme="0" tint="-0.499984740745262"/>
      </top>
      <bottom style="mediumDashed">
        <color theme="0" tint="-0.499984740745262"/>
      </bottom>
      <diagonal/>
    </border>
    <border>
      <left style="medium">
        <color rgb="FF89CFF0"/>
      </left>
      <right/>
      <top/>
      <bottom style="thin">
        <color theme="0" tint="-0.14996795556505021"/>
      </bottom>
      <diagonal/>
    </border>
    <border>
      <left style="medium">
        <color rgb="FF89CFF0"/>
      </left>
      <right/>
      <top/>
      <bottom/>
      <diagonal/>
    </border>
    <border>
      <left style="medium">
        <color rgb="FF89CFF0"/>
      </left>
      <right/>
      <top/>
      <bottom style="medium">
        <color indexed="64"/>
      </bottom>
      <diagonal/>
    </border>
    <border>
      <left/>
      <right/>
      <top style="mediumDashed">
        <color theme="0" tint="-0.499984740745262"/>
      </top>
      <bottom style="thin">
        <color theme="0" tint="-0.14996795556505021"/>
      </bottom>
      <diagonal/>
    </border>
    <border>
      <left style="thin">
        <color theme="0" tint="-0.14996795556505021"/>
      </left>
      <right style="medium">
        <color theme="5" tint="0.59996337778862885"/>
      </right>
      <top style="medium">
        <color indexed="64"/>
      </top>
      <bottom style="thin">
        <color theme="0" tint="-0.14996795556505021"/>
      </bottom>
      <diagonal/>
    </border>
    <border>
      <left style="medium">
        <color theme="9"/>
      </left>
      <right style="thin">
        <color theme="0" tint="-0.14996795556505021"/>
      </right>
      <top style="medium">
        <color indexed="64"/>
      </top>
      <bottom style="thin">
        <color theme="0" tint="-0.14996795556505021"/>
      </bottom>
      <diagonal/>
    </border>
    <border>
      <left style="medium">
        <color theme="9"/>
      </left>
      <right style="thin">
        <color theme="0" tint="-0.14996795556505021"/>
      </right>
      <top style="thin">
        <color theme="0" tint="-0.14996795556505021"/>
      </top>
      <bottom style="thin">
        <color theme="0" tint="-0.14996795556505021"/>
      </bottom>
      <diagonal/>
    </border>
    <border>
      <left style="medium">
        <color theme="9"/>
      </left>
      <right style="thin">
        <color theme="0" tint="-0.14996795556505021"/>
      </right>
      <top style="thin">
        <color theme="0" tint="-0.14996795556505021"/>
      </top>
      <bottom/>
      <diagonal/>
    </border>
    <border>
      <left style="medium">
        <color theme="9"/>
      </left>
      <right style="thin">
        <color theme="0" tint="-0.14996795556505021"/>
      </right>
      <top style="mediumDashed">
        <color theme="0" tint="-0.499984740745262"/>
      </top>
      <bottom style="mediumDashed">
        <color theme="0" tint="-0.499984740745262"/>
      </bottom>
      <diagonal/>
    </border>
    <border>
      <left style="medium">
        <color theme="9"/>
      </left>
      <right style="thin">
        <color theme="0" tint="-0.14996795556505021"/>
      </right>
      <top/>
      <bottom style="thin">
        <color theme="0" tint="-0.14996795556505021"/>
      </bottom>
      <diagonal/>
    </border>
    <border>
      <left style="thin">
        <color theme="7" tint="0.39994506668294322"/>
      </left>
      <right style="thin">
        <color theme="7" tint="0.39994506668294322"/>
      </right>
      <top style="mediumDashed">
        <color theme="1" tint="0.499984740745262"/>
      </top>
      <bottom style="medium">
        <color indexed="64"/>
      </bottom>
      <diagonal/>
    </border>
    <border>
      <left style="medium">
        <color theme="5" tint="0.59996337778862885"/>
      </left>
      <right style="medium">
        <color theme="5" tint="0.59996337778862885"/>
      </right>
      <top style="mediumDashed">
        <color theme="1" tint="0.499984740745262"/>
      </top>
      <bottom style="medium">
        <color indexed="64"/>
      </bottom>
      <diagonal/>
    </border>
    <border>
      <left style="medium">
        <color theme="9"/>
      </left>
      <right style="thin">
        <color theme="9" tint="0.39994506668294322"/>
      </right>
      <top style="mediumDashed">
        <color theme="1" tint="0.499984740745262"/>
      </top>
      <bottom style="medium">
        <color indexed="64"/>
      </bottom>
      <diagonal/>
    </border>
    <border>
      <left style="thin">
        <color theme="9" tint="0.39994506668294322"/>
      </left>
      <right style="thin">
        <color theme="9" tint="0.39994506668294322"/>
      </right>
      <top style="mediumDashed">
        <color theme="1" tint="0.499984740745262"/>
      </top>
      <bottom style="medium">
        <color indexed="64"/>
      </bottom>
      <diagonal/>
    </border>
    <border>
      <left style="medium">
        <color theme="0" tint="-0.24994659260841701"/>
      </left>
      <right style="medium">
        <color theme="0" tint="-0.24994659260841701"/>
      </right>
      <top style="mediumDashed">
        <color theme="0" tint="-0.499984740745262"/>
      </top>
      <bottom style="mediumDashed">
        <color theme="0" tint="-0.499984740745262"/>
      </bottom>
      <diagonal/>
    </border>
    <border>
      <left style="medium">
        <color theme="0" tint="-0.24994659260841701"/>
      </left>
      <right style="medium">
        <color theme="0" tint="-0.24994659260841701"/>
      </right>
      <top/>
      <bottom style="medium">
        <color indexed="64"/>
      </bottom>
      <diagonal/>
    </border>
    <border>
      <left/>
      <right style="medium">
        <color theme="0" tint="-0.24994659260841701"/>
      </right>
      <top style="mediumDashed">
        <color theme="0" tint="-0.499984740745262"/>
      </top>
      <bottom style="mediumDashed">
        <color theme="0" tint="-0.499984740745262"/>
      </bottom>
      <diagonal/>
    </border>
    <border>
      <left/>
      <right style="thin">
        <color theme="0" tint="-0.14996795556505021"/>
      </right>
      <top/>
      <bottom/>
      <diagonal/>
    </border>
    <border>
      <left/>
      <right/>
      <top style="hair">
        <color theme="0" tint="-0.14996795556505021"/>
      </top>
      <bottom style="hair">
        <color auto="1"/>
      </bottom>
      <diagonal/>
    </border>
    <border>
      <left/>
      <right/>
      <top style="hair">
        <color indexed="64"/>
      </top>
      <bottom style="hair">
        <color indexed="64"/>
      </bottom>
      <diagonal/>
    </border>
    <border>
      <left/>
      <right/>
      <top style="hair">
        <color auto="1"/>
      </top>
      <bottom style="medium">
        <color theme="0" tint="-0.1498764000366222"/>
      </bottom>
      <diagonal/>
    </border>
    <border>
      <left style="hair">
        <color theme="0" tint="-0.24994659260841701"/>
      </left>
      <right/>
      <top style="mediumDashed">
        <color theme="1" tint="0.499984740745262"/>
      </top>
      <bottom/>
      <diagonal/>
    </border>
    <border>
      <left/>
      <right style="hair">
        <color theme="0" tint="-0.24994659260841701"/>
      </right>
      <top style="mediumDashed">
        <color theme="1" tint="0.499984740745262"/>
      </top>
      <bottom/>
      <diagonal/>
    </border>
    <border>
      <left style="hair">
        <color theme="0" tint="-0.24994659260841701"/>
      </left>
      <right/>
      <top/>
      <bottom style="thin">
        <color theme="0" tint="-0.14996795556505021"/>
      </bottom>
      <diagonal/>
    </border>
    <border>
      <left/>
      <right style="hair">
        <color theme="0" tint="-0.24994659260841701"/>
      </right>
      <top/>
      <bottom style="thin">
        <color theme="0" tint="-0.14996795556505021"/>
      </bottom>
      <diagonal/>
    </border>
    <border>
      <left style="hair">
        <color auto="1"/>
      </left>
      <right/>
      <top style="hair">
        <color theme="0" tint="-0.14996795556505021"/>
      </top>
      <bottom style="hair">
        <color auto="1"/>
      </bottom>
      <diagonal/>
    </border>
    <border>
      <left style="medium">
        <color theme="9"/>
      </left>
      <right/>
      <top style="mediumDashed">
        <color theme="1" tint="0.499984740745262"/>
      </top>
      <bottom style="medium">
        <color indexed="64"/>
      </bottom>
      <diagonal/>
    </border>
    <border>
      <left/>
      <right style="medium">
        <color theme="0" tint="-0.24994659260841701"/>
      </right>
      <top/>
      <bottom style="medium">
        <color indexed="64"/>
      </bottom>
      <diagonal/>
    </border>
    <border>
      <left style="medium">
        <color theme="9"/>
      </left>
      <right/>
      <top/>
      <bottom/>
      <diagonal/>
    </border>
    <border>
      <left/>
      <right style="medium">
        <color rgb="FFFFC000"/>
      </right>
      <top/>
      <bottom/>
      <diagonal/>
    </border>
    <border>
      <left/>
      <right/>
      <top style="mediumDashed">
        <color theme="1" tint="0.499984740745262"/>
      </top>
      <bottom style="mediumDashed">
        <color theme="1" tint="0.499984740745262"/>
      </bottom>
      <diagonal/>
    </border>
    <border>
      <left/>
      <right style="thin">
        <color theme="7" tint="0.39994506668294322"/>
      </right>
      <top style="mediumDashed">
        <color theme="1" tint="0.499984740745262"/>
      </top>
      <bottom style="medium">
        <color indexed="64"/>
      </bottom>
      <diagonal/>
    </border>
    <border>
      <left/>
      <right style="thin">
        <color theme="0" tint="-0.14996795556505021"/>
      </right>
      <top/>
      <bottom style="medium">
        <color indexed="64"/>
      </bottom>
      <diagonal/>
    </border>
    <border>
      <left style="medium">
        <color rgb="FFB0DFE5"/>
      </left>
      <right style="medium">
        <color rgb="FFB0DFE5"/>
      </right>
      <top style="mediumDashed">
        <color theme="3" tint="-0.24994659260841701"/>
      </top>
      <bottom style="mediumDashed">
        <color theme="3" tint="-0.24994659260841701"/>
      </bottom>
      <diagonal/>
    </border>
    <border>
      <left style="medium">
        <color rgb="FFB0DFE5"/>
      </left>
      <right/>
      <top style="mediumDashed">
        <color theme="3" tint="-0.24994659260841701"/>
      </top>
      <bottom style="mediumDashed">
        <color theme="3" tint="-0.24994659260841701"/>
      </bottom>
      <diagonal/>
    </border>
    <border>
      <left/>
      <right style="medium">
        <color rgb="FFB0DFE5"/>
      </right>
      <top style="mediumDashed">
        <color theme="3" tint="-0.24994659260841701"/>
      </top>
      <bottom style="mediumDashed">
        <color theme="3" tint="-0.24994659260841701"/>
      </bottom>
      <diagonal/>
    </border>
    <border>
      <left/>
      <right/>
      <top style="mediumDashed">
        <color rgb="FF394759"/>
      </top>
      <bottom style="mediumDashed">
        <color theme="3" tint="-0.24994659260841701"/>
      </bottom>
      <diagonal/>
    </border>
    <border>
      <left/>
      <right/>
      <top style="mediumDashed">
        <color theme="8" tint="-0.24994659260841701"/>
      </top>
      <bottom style="mediumDashed">
        <color theme="8" tint="-0.24994659260841701"/>
      </bottom>
      <diagonal/>
    </border>
    <border>
      <left style="dotted">
        <color theme="0" tint="-0.14996795556505021"/>
      </left>
      <right style="dotted">
        <color theme="0" tint="-0.14996795556505021"/>
      </right>
      <top style="mediumDashed">
        <color theme="8" tint="-0.24994659260841701"/>
      </top>
      <bottom style="mediumDashed">
        <color theme="8" tint="-0.24994659260841701"/>
      </bottom>
      <diagonal/>
    </border>
    <border>
      <left style="dotted">
        <color theme="0" tint="-0.14996795556505021"/>
      </left>
      <right/>
      <top style="mediumDashed">
        <color theme="8" tint="-0.24994659260841701"/>
      </top>
      <bottom style="mediumDashed">
        <color theme="8" tint="-0.24994659260841701"/>
      </bottom>
      <diagonal/>
    </border>
    <border>
      <left/>
      <right style="dotted">
        <color theme="0" tint="-0.14996795556505021"/>
      </right>
      <top style="mediumDashed">
        <color theme="8" tint="-0.24994659260841701"/>
      </top>
      <bottom style="mediumDashed">
        <color theme="8" tint="-0.24994659260841701"/>
      </bottom>
      <diagonal/>
    </border>
    <border>
      <left style="medium">
        <color theme="9"/>
      </left>
      <right/>
      <top style="mediumDashed">
        <color theme="1" tint="0.499984740745262"/>
      </top>
      <bottom style="mediumDashed">
        <color theme="1" tint="0.499984740745262"/>
      </bottom>
      <diagonal/>
    </border>
    <border>
      <left/>
      <right style="medium">
        <color rgb="FF95C8D8"/>
      </right>
      <top style="mediumDashed">
        <color theme="1" tint="0.499984740745262"/>
      </top>
      <bottom style="medium">
        <color indexed="64"/>
      </bottom>
      <diagonal/>
    </border>
    <border>
      <left/>
      <right style="dotted">
        <color theme="0" tint="-0.14993743705557422"/>
      </right>
      <top style="mediumDashed">
        <color theme="8" tint="-0.24994659260841701"/>
      </top>
      <bottom style="mediumDashed">
        <color theme="8" tint="-0.24994659260841701"/>
      </bottom>
      <diagonal/>
    </border>
    <border>
      <left/>
      <right/>
      <top style="mediumDashed">
        <color theme="1" tint="0.499984740745262"/>
      </top>
      <bottom style="medium">
        <color indexed="64"/>
      </bottom>
      <diagonal/>
    </border>
    <border>
      <left style="thin">
        <color theme="9" tint="0.39994506668294322"/>
      </left>
      <right/>
      <top style="mediumDashed">
        <color theme="1" tint="0.499984740745262"/>
      </top>
      <bottom style="medium">
        <color indexed="64"/>
      </bottom>
      <diagonal/>
    </border>
    <border>
      <left/>
      <right style="thin">
        <color theme="9" tint="0.39994506668294322"/>
      </right>
      <top style="mediumDashed">
        <color theme="1" tint="0.499984740745262"/>
      </top>
      <bottom style="medium">
        <color indexed="64"/>
      </bottom>
      <diagonal/>
    </border>
    <border>
      <left/>
      <right style="medium">
        <color theme="9"/>
      </right>
      <top style="thin">
        <color theme="0" tint="-0.14996795556505021"/>
      </top>
      <bottom style="thin">
        <color theme="0" tint="-0.14996795556505021"/>
      </bottom>
      <diagonal/>
    </border>
    <border>
      <left/>
      <right style="medium">
        <color rgb="FFA2C4C9"/>
      </right>
      <top/>
      <bottom/>
      <diagonal/>
    </border>
    <border>
      <left/>
      <right style="medium">
        <color rgb="FFA2C4C9"/>
      </right>
      <top style="mediumDashed">
        <color theme="1"/>
      </top>
      <bottom style="mediumDashed">
        <color theme="1"/>
      </bottom>
      <diagonal/>
    </border>
    <border>
      <left style="thin">
        <color theme="0" tint="-0.24994659260841701"/>
      </left>
      <right style="medium">
        <color rgb="FFA2C4C9"/>
      </right>
      <top style="mediumDashed">
        <color theme="1"/>
      </top>
      <bottom/>
      <diagonal/>
    </border>
    <border>
      <left style="thin">
        <color theme="0" tint="-0.24994659260841701"/>
      </left>
      <right style="medium">
        <color rgb="FFA2C4C9"/>
      </right>
      <top/>
      <bottom style="thin">
        <color theme="0" tint="-0.14996795556505021"/>
      </bottom>
      <diagonal/>
    </border>
    <border>
      <left style="thin">
        <color theme="0" tint="-0.24994659260841701"/>
      </left>
      <right style="medium">
        <color rgb="FFA2C4C9"/>
      </right>
      <top style="thin">
        <color theme="0" tint="-0.14996795556505021"/>
      </top>
      <bottom style="thin">
        <color theme="0" tint="-0.14996795556505021"/>
      </bottom>
      <diagonal/>
    </border>
    <border>
      <left style="thin">
        <color theme="0" tint="-0.24994659260841701"/>
      </left>
      <right style="medium">
        <color rgb="FFA2C4C9"/>
      </right>
      <top style="thin">
        <color theme="0" tint="-0.14996795556505021"/>
      </top>
      <bottom/>
      <diagonal/>
    </border>
    <border>
      <left style="thin">
        <color theme="0" tint="-0.24994659260841701"/>
      </left>
      <right style="medium">
        <color rgb="FFA2C4C9"/>
      </right>
      <top style="mediumDashed">
        <color theme="0" tint="-0.499984740745262"/>
      </top>
      <bottom style="mediumDashed">
        <color theme="0" tint="-0.499984740745262"/>
      </bottom>
      <diagonal/>
    </border>
    <border>
      <left style="thin">
        <color theme="0" tint="-0.24994659260841701"/>
      </left>
      <right style="medium">
        <color rgb="FFA2C4C9"/>
      </right>
      <top/>
      <bottom style="medium">
        <color indexed="64"/>
      </bottom>
      <diagonal/>
    </border>
    <border>
      <left style="thin">
        <color theme="0" tint="-0.14996795556505021"/>
      </left>
      <right style="thin">
        <color theme="0" tint="-0.14996795556505021"/>
      </right>
      <top style="mediumDashed">
        <color theme="1" tint="0.499984740745262"/>
      </top>
      <bottom style="medium">
        <color indexed="64"/>
      </bottom>
      <diagonal/>
    </border>
    <border>
      <left/>
      <right style="medium">
        <color theme="5" tint="0.59996337778862885"/>
      </right>
      <top style="mediumDashed">
        <color theme="1" tint="0.499984740745262"/>
      </top>
      <bottom style="medium">
        <color indexed="64"/>
      </bottom>
      <diagonal/>
    </border>
    <border>
      <left/>
      <right style="medium">
        <color theme="0" tint="-0.14996795556505021"/>
      </right>
      <top style="mediumDashed">
        <color theme="0" tint="-0.499984740745262"/>
      </top>
      <bottom style="mediumDashed">
        <color theme="0" tint="-0.499984740745262"/>
      </bottom>
      <diagonal/>
    </border>
    <border>
      <left/>
      <right style="medium">
        <color theme="0" tint="-0.14996795556505021"/>
      </right>
      <top/>
      <bottom style="medium">
        <color indexed="64"/>
      </bottom>
      <diagonal/>
    </border>
    <border>
      <left style="medium">
        <color rgb="FFFFC000"/>
      </left>
      <right style="medium">
        <color rgb="FFFFC000"/>
      </right>
      <top/>
      <bottom/>
      <diagonal/>
    </border>
    <border>
      <left style="medium">
        <color theme="5" tint="0.59996337778862885"/>
      </left>
      <right style="medium">
        <color theme="5" tint="0.59996337778862885"/>
      </right>
      <top style="mediumDashed">
        <color theme="1" tint="0.499984740745262"/>
      </top>
      <bottom/>
      <diagonal/>
    </border>
    <border>
      <left style="medium">
        <color theme="5" tint="0.59996337778862885"/>
      </left>
      <right style="medium">
        <color theme="5" tint="0.59996337778862885"/>
      </right>
      <top style="medium">
        <color indexed="64"/>
      </top>
      <bottom style="thin">
        <color theme="0" tint="-0.14996795556505021"/>
      </bottom>
      <diagonal/>
    </border>
    <border>
      <left/>
      <right/>
      <top/>
      <bottom style="hair">
        <color auto="1"/>
      </bottom>
      <diagonal/>
    </border>
    <border>
      <left/>
      <right style="hair">
        <color indexed="64"/>
      </right>
      <top style="hair">
        <color indexed="64"/>
      </top>
      <bottom style="hair">
        <color indexed="64"/>
      </bottom>
      <diagonal/>
    </border>
    <border>
      <left style="hair">
        <color auto="1"/>
      </left>
      <right style="thin">
        <color theme="0" tint="-0.14996795556505021"/>
      </right>
      <top style="thin">
        <color theme="0" tint="-0.14996795556505021"/>
      </top>
      <bottom style="hair">
        <color auto="1"/>
      </bottom>
      <diagonal/>
    </border>
    <border>
      <left style="hair">
        <color auto="1"/>
      </left>
      <right style="thin">
        <color theme="0" tint="-0.14996795556505021"/>
      </right>
      <top style="hair">
        <color auto="1"/>
      </top>
      <bottom style="hair">
        <color auto="1"/>
      </bottom>
      <diagonal/>
    </border>
    <border>
      <left style="hair">
        <color auto="1"/>
      </left>
      <right style="thin">
        <color theme="0" tint="-0.14996795556505021"/>
      </right>
      <top style="hair">
        <color auto="1"/>
      </top>
      <bottom style="medium">
        <color theme="0" tint="-0.1498764000366222"/>
      </bottom>
      <diagonal/>
    </border>
    <border>
      <left style="thin">
        <color theme="9" tint="0.39991454817346722"/>
      </left>
      <right style="medium">
        <color theme="9"/>
      </right>
      <top style="mediumDashed">
        <color theme="1" tint="0.499984740745262"/>
      </top>
      <bottom style="medium">
        <color indexed="64"/>
      </bottom>
      <diagonal/>
    </border>
    <border>
      <left style="thin">
        <color theme="0" tint="-0.14996795556505021"/>
      </left>
      <right style="medium">
        <color theme="9"/>
      </right>
      <top style="thin">
        <color theme="0" tint="-0.14996795556505021"/>
      </top>
      <bottom style="thin">
        <color theme="0" tint="-0.14996795556505021"/>
      </bottom>
      <diagonal/>
    </border>
    <border>
      <left style="thin">
        <color theme="0" tint="-0.14996795556505021"/>
      </left>
      <right style="medium">
        <color theme="9"/>
      </right>
      <top style="medium">
        <color indexed="64"/>
      </top>
      <bottom style="thin">
        <color theme="0" tint="-0.14996795556505021"/>
      </bottom>
      <diagonal/>
    </border>
    <border>
      <left style="thin">
        <color theme="0" tint="-0.14996795556505021"/>
      </left>
      <right style="medium">
        <color theme="9"/>
      </right>
      <top style="thin">
        <color theme="0" tint="-0.14996795556505021"/>
      </top>
      <bottom/>
      <diagonal/>
    </border>
    <border>
      <left style="thin">
        <color theme="0" tint="-0.14996795556505021"/>
      </left>
      <right style="medium">
        <color theme="9"/>
      </right>
      <top style="mediumDashed">
        <color theme="0" tint="-0.499984740745262"/>
      </top>
      <bottom style="mediumDashed">
        <color theme="0" tint="-0.499984740745262"/>
      </bottom>
      <diagonal/>
    </border>
    <border>
      <left style="thin">
        <color theme="0" tint="-0.14996795556505021"/>
      </left>
      <right style="medium">
        <color theme="9"/>
      </right>
      <top/>
      <bottom style="thin">
        <color theme="0" tint="-0.14996795556505021"/>
      </bottom>
      <diagonal/>
    </border>
    <border>
      <left style="thin">
        <color theme="0" tint="-0.14996795556505021"/>
      </left>
      <right style="medium">
        <color rgb="FF89CFF0"/>
      </right>
      <top/>
      <bottom style="medium">
        <color indexed="64"/>
      </bottom>
      <diagonal/>
    </border>
    <border>
      <left style="medium">
        <color theme="0" tint="-0.24994659260841701"/>
      </left>
      <right/>
      <top style="mediumDashed">
        <color theme="0" tint="-0.499984740745262"/>
      </top>
      <bottom style="mediumDashed">
        <color theme="0" tint="-0.499984740745262"/>
      </bottom>
      <diagonal/>
    </border>
    <border>
      <left style="medium">
        <color theme="0" tint="-0.24994659260841701"/>
      </left>
      <right/>
      <top/>
      <bottom style="medium">
        <color indexed="64"/>
      </bottom>
      <diagonal/>
    </border>
    <border>
      <left style="medium">
        <color rgb="FFA2C4C9"/>
      </left>
      <right/>
      <top/>
      <bottom style="mediumDashed">
        <color theme="1" tint="0.499984740745262"/>
      </bottom>
      <diagonal/>
    </border>
    <border>
      <left style="thin">
        <color theme="7" tint="0.39994506668294322"/>
      </left>
      <right/>
      <top style="mediumDashed">
        <color theme="1" tint="0.499984740745262"/>
      </top>
      <bottom style="medium">
        <color indexed="64"/>
      </bottom>
      <diagonal/>
    </border>
    <border>
      <left style="thin">
        <color rgb="FFFFC000"/>
      </left>
      <right style="medium">
        <color rgb="FFFFC000"/>
      </right>
      <top style="mediumDashed">
        <color theme="1" tint="0.499984740745262"/>
      </top>
      <bottom style="medium">
        <color indexed="64"/>
      </bottom>
      <diagonal/>
    </border>
    <border>
      <left style="thin">
        <color theme="0" tint="-0.24994659260841701"/>
      </left>
      <right style="medium">
        <color rgb="FFFFC000"/>
      </right>
      <top style="medium">
        <color indexed="64"/>
      </top>
      <bottom style="thin">
        <color theme="0" tint="-0.14996795556505021"/>
      </bottom>
      <diagonal/>
    </border>
    <border>
      <left style="thin">
        <color theme="0" tint="-0.24994659260841701"/>
      </left>
      <right style="medium">
        <color rgb="FFFFC000"/>
      </right>
      <top style="thin">
        <color theme="0" tint="-0.14996795556505021"/>
      </top>
      <bottom style="thin">
        <color theme="0" tint="-0.14996795556505021"/>
      </bottom>
      <diagonal/>
    </border>
    <border>
      <left style="thin">
        <color theme="0" tint="-0.24994659260841701"/>
      </left>
      <right style="medium">
        <color rgb="FFFFC000"/>
      </right>
      <top style="thin">
        <color theme="0" tint="-0.14996795556505021"/>
      </top>
      <bottom/>
      <diagonal/>
    </border>
    <border>
      <left style="thin">
        <color theme="0" tint="-0.24994659260841701"/>
      </left>
      <right style="medium">
        <color rgb="FFFFC000"/>
      </right>
      <top style="mediumDashed">
        <color theme="0" tint="-0.499984740745262"/>
      </top>
      <bottom style="mediumDashed">
        <color theme="0" tint="-0.499984740745262"/>
      </bottom>
      <diagonal/>
    </border>
    <border>
      <left style="thin">
        <color theme="0" tint="-0.24994659260841701"/>
      </left>
      <right style="medium">
        <color rgb="FFFFC000"/>
      </right>
      <top/>
      <bottom style="thin">
        <color theme="0" tint="-0.14996795556505021"/>
      </bottom>
      <diagonal/>
    </border>
    <border>
      <left style="thin">
        <color theme="0" tint="-0.24994659260841701"/>
      </left>
      <right style="medium">
        <color rgb="FFFFC000"/>
      </right>
      <top/>
      <bottom/>
      <diagonal/>
    </border>
    <border>
      <left style="thin">
        <color theme="0" tint="-0.24994659260841701"/>
      </left>
      <right style="medium">
        <color rgb="FFFFC000"/>
      </right>
      <top/>
      <bottom style="medium">
        <color indexed="64"/>
      </bottom>
      <diagonal/>
    </border>
    <border>
      <left style="medium">
        <color theme="0" tint="-0.14996795556505021"/>
      </left>
      <right/>
      <top style="mediumDashed">
        <color theme="0" tint="-0.499984740745262"/>
      </top>
      <bottom style="mediumDashed">
        <color theme="0" tint="-0.499984740745262"/>
      </bottom>
      <diagonal/>
    </border>
    <border>
      <left style="medium">
        <color theme="0" tint="-0.14996795556505021"/>
      </left>
      <right/>
      <top/>
      <bottom style="medium">
        <color indexed="64"/>
      </bottom>
      <diagonal/>
    </border>
    <border>
      <left style="thin">
        <color theme="0" tint="-0.24994659260841701"/>
      </left>
      <right style="medium">
        <color theme="5" tint="0.59996337778862885"/>
      </right>
      <top style="thin">
        <color theme="0" tint="-0.14996795556505021"/>
      </top>
      <bottom style="thin">
        <color theme="0" tint="-0.14996795556505021"/>
      </bottom>
      <diagonal/>
    </border>
    <border>
      <left style="thin">
        <color theme="0" tint="-0.24994659260841701"/>
      </left>
      <right style="medium">
        <color theme="5" tint="0.59996337778862885"/>
      </right>
      <top style="thin">
        <color theme="0" tint="-0.14996795556505021"/>
      </top>
      <bottom/>
      <diagonal/>
    </border>
    <border>
      <left style="thin">
        <color theme="0" tint="-0.24994659260841701"/>
      </left>
      <right style="medium">
        <color theme="5" tint="0.59996337778862885"/>
      </right>
      <top style="mediumDashed">
        <color theme="0" tint="-0.499984740745262"/>
      </top>
      <bottom style="mediumDashed">
        <color theme="0" tint="-0.499984740745262"/>
      </bottom>
      <diagonal/>
    </border>
    <border>
      <left style="thin">
        <color theme="0" tint="-0.24994659260841701"/>
      </left>
      <right style="medium">
        <color theme="5" tint="0.59996337778862885"/>
      </right>
      <top/>
      <bottom style="thin">
        <color theme="0" tint="-0.14996795556505021"/>
      </bottom>
      <diagonal/>
    </border>
    <border>
      <left style="thin">
        <color theme="0" tint="-0.24994659260841701"/>
      </left>
      <right style="medium">
        <color theme="5" tint="0.59996337778862885"/>
      </right>
      <top/>
      <bottom/>
      <diagonal/>
    </border>
    <border>
      <left style="thin">
        <color theme="0" tint="-0.24994659260841701"/>
      </left>
      <right style="medium">
        <color theme="5" tint="0.59996337778862885"/>
      </right>
      <top/>
      <bottom style="medium">
        <color indexed="64"/>
      </bottom>
      <diagonal/>
    </border>
    <border>
      <left style="thin">
        <color theme="0" tint="-0.24994659260841701"/>
      </left>
      <right style="mediumDashed">
        <color theme="1" tint="0.499984740745262"/>
      </right>
      <top style="mediumDashed">
        <color theme="1" tint="0.499984740745262"/>
      </top>
      <bottom/>
      <diagonal/>
    </border>
    <border>
      <left style="thin">
        <color theme="0" tint="-0.24994659260841701"/>
      </left>
      <right style="mediumDashed">
        <color theme="1" tint="0.499984740745262"/>
      </right>
      <top style="medium">
        <color indexed="64"/>
      </top>
      <bottom style="thin">
        <color theme="0" tint="-0.14996795556505021"/>
      </bottom>
      <diagonal/>
    </border>
    <border>
      <left style="thin">
        <color theme="0" tint="-0.24994659260841701"/>
      </left>
      <right style="mediumDashed">
        <color theme="1" tint="0.499984740745262"/>
      </right>
      <top style="thin">
        <color theme="0" tint="-0.14996795556505021"/>
      </top>
      <bottom style="thin">
        <color theme="0" tint="-0.14996795556505021"/>
      </bottom>
      <diagonal/>
    </border>
    <border>
      <left style="thin">
        <color theme="0" tint="-0.24994659260841701"/>
      </left>
      <right style="mediumDashed">
        <color theme="1" tint="0.499984740745262"/>
      </right>
      <top style="thin">
        <color theme="0" tint="-0.14996795556505021"/>
      </top>
      <bottom/>
      <diagonal/>
    </border>
    <border>
      <left style="thin">
        <color theme="0" tint="-0.24994659260841701"/>
      </left>
      <right style="mediumDashed">
        <color theme="1" tint="0.499984740745262"/>
      </right>
      <top style="mediumDashed">
        <color theme="0" tint="-0.499984740745262"/>
      </top>
      <bottom style="mediumDashed">
        <color theme="0" tint="-0.499984740745262"/>
      </bottom>
      <diagonal/>
    </border>
    <border>
      <left style="thin">
        <color theme="0" tint="-0.24994659260841701"/>
      </left>
      <right style="mediumDashed">
        <color theme="1" tint="0.499984740745262"/>
      </right>
      <top/>
      <bottom style="thin">
        <color theme="0" tint="-0.14996795556505021"/>
      </bottom>
      <diagonal/>
    </border>
    <border>
      <left style="thin">
        <color theme="0" tint="-0.24994659260841701"/>
      </left>
      <right style="mediumDashed">
        <color theme="1" tint="0.499984740745262"/>
      </right>
      <top/>
      <bottom style="medium">
        <color indexed="64"/>
      </bottom>
      <diagonal/>
    </border>
    <border>
      <left style="thin">
        <color theme="0" tint="-0.14993743705557422"/>
      </left>
      <right style="medium">
        <color theme="5" tint="0.59996337778862885"/>
      </right>
      <top style="thin">
        <color theme="0" tint="-0.14996795556505021"/>
      </top>
      <bottom style="thin">
        <color theme="0" tint="-0.14996795556505021"/>
      </bottom>
      <diagonal/>
    </border>
    <border>
      <left style="thin">
        <color theme="0" tint="-0.14993743705557422"/>
      </left>
      <right style="medium">
        <color theme="5" tint="0.59996337778862885"/>
      </right>
      <top style="thin">
        <color theme="0" tint="-0.14996795556505021"/>
      </top>
      <bottom/>
      <diagonal/>
    </border>
    <border>
      <left style="thin">
        <color theme="0" tint="-0.14993743705557422"/>
      </left>
      <right style="medium">
        <color theme="5" tint="0.59996337778862885"/>
      </right>
      <top style="mediumDashed">
        <color theme="0" tint="-0.499984740745262"/>
      </top>
      <bottom style="mediumDashed">
        <color theme="0" tint="-0.499984740745262"/>
      </bottom>
      <diagonal/>
    </border>
    <border>
      <left style="thin">
        <color theme="0" tint="-0.14993743705557422"/>
      </left>
      <right style="medium">
        <color theme="5" tint="0.59996337778862885"/>
      </right>
      <top/>
      <bottom style="thin">
        <color theme="0" tint="-0.14996795556505021"/>
      </bottom>
      <diagonal/>
    </border>
    <border>
      <left style="thin">
        <color theme="0" tint="-0.14993743705557422"/>
      </left>
      <right style="medium">
        <color theme="5" tint="0.59996337778862885"/>
      </right>
      <top style="mediumDashed">
        <color theme="0" tint="-0.499984740745262"/>
      </top>
      <bottom style="thin">
        <color theme="0" tint="-0.14996795556505021"/>
      </bottom>
      <diagonal/>
    </border>
    <border>
      <left style="medium">
        <color rgb="FFFFC000"/>
      </left>
      <right style="thin">
        <color theme="0" tint="-0.14996795556505021"/>
      </right>
      <top style="medium">
        <color indexed="64"/>
      </top>
      <bottom style="thin">
        <color theme="0" tint="-0.14996795556505021"/>
      </bottom>
      <diagonal/>
    </border>
    <border>
      <left style="medium">
        <color rgb="FFFFC000"/>
      </left>
      <right style="thin">
        <color theme="0" tint="-0.14996795556505021"/>
      </right>
      <top style="thin">
        <color theme="0" tint="-0.14996795556505021"/>
      </top>
      <bottom style="thin">
        <color theme="0" tint="-0.14996795556505021"/>
      </bottom>
      <diagonal/>
    </border>
    <border>
      <left style="medium">
        <color rgb="FFFFC000"/>
      </left>
      <right style="thin">
        <color theme="0" tint="-0.14996795556505021"/>
      </right>
      <top style="thin">
        <color theme="0" tint="-0.14996795556505021"/>
      </top>
      <bottom/>
      <diagonal/>
    </border>
    <border>
      <left style="medium">
        <color rgb="FFFFC000"/>
      </left>
      <right style="thin">
        <color theme="0" tint="-0.14996795556505021"/>
      </right>
      <top style="mediumDashed">
        <color theme="0" tint="-0.499984740745262"/>
      </top>
      <bottom style="mediumDashed">
        <color theme="0" tint="-0.499984740745262"/>
      </bottom>
      <diagonal/>
    </border>
    <border>
      <left style="medium">
        <color rgb="FFFFC000"/>
      </left>
      <right style="thin">
        <color theme="0" tint="-0.14996795556505021"/>
      </right>
      <top/>
      <bottom style="thin">
        <color theme="0" tint="-0.14996795556505021"/>
      </bottom>
      <diagonal/>
    </border>
    <border>
      <left style="medium">
        <color rgb="FFFFC000"/>
      </left>
      <right style="thin">
        <color theme="0" tint="-0.14996795556505021"/>
      </right>
      <top/>
      <bottom/>
      <diagonal/>
    </border>
    <border>
      <left style="medium">
        <color rgb="FFFFC000"/>
      </left>
      <right style="thin">
        <color theme="0" tint="-0.14996795556505021"/>
      </right>
      <top/>
      <bottom style="medium">
        <color indexed="64"/>
      </bottom>
      <diagonal/>
    </border>
    <border>
      <left style="medium">
        <color rgb="FFFFC000"/>
      </left>
      <right style="thin">
        <color rgb="FFFFC000"/>
      </right>
      <top style="mediumDashed">
        <color theme="1" tint="0.499984740745262"/>
      </top>
      <bottom style="medium">
        <color indexed="64"/>
      </bottom>
      <diagonal/>
    </border>
    <border>
      <left style="medium">
        <color rgb="FFFFC000"/>
      </left>
      <right/>
      <top style="mediumDashed">
        <color theme="1" tint="0.499984740745262"/>
      </top>
      <bottom style="mediumDashed">
        <color theme="1" tint="0.499984740745262"/>
      </bottom>
      <diagonal/>
    </border>
    <border>
      <left/>
      <right style="medium">
        <color rgb="FFFFC000"/>
      </right>
      <top style="mediumDashed">
        <color theme="1" tint="0.499984740745262"/>
      </top>
      <bottom style="mediumDashed">
        <color theme="1" tint="0.499984740745262"/>
      </bottom>
      <diagonal/>
    </border>
    <border>
      <left/>
      <right style="medium">
        <color theme="5" tint="0.59996337778862885"/>
      </right>
      <top style="mediumDashed">
        <color theme="1" tint="0.499984740745262"/>
      </top>
      <bottom style="mediumDashed">
        <color theme="1" tint="0.499984740745262"/>
      </bottom>
      <diagonal/>
    </border>
    <border>
      <left/>
      <right style="medium">
        <color theme="5" tint="0.59996337778862885"/>
      </right>
      <top/>
      <bottom style="mediumDashed">
        <color theme="1" tint="0.499984740745262"/>
      </bottom>
      <diagonal/>
    </border>
    <border>
      <left style="medium">
        <color rgb="FFA2C4C9"/>
      </left>
      <right/>
      <top style="mediumDashed">
        <color theme="1" tint="0.499984740745262"/>
      </top>
      <bottom style="mediumDashed">
        <color theme="1" tint="0.499984740745262"/>
      </bottom>
      <diagonal/>
    </border>
    <border>
      <left style="medium">
        <color theme="9"/>
      </left>
      <right style="thin">
        <color theme="0" tint="-0.14996795556505021"/>
      </right>
      <top/>
      <bottom style="medium">
        <color indexed="64"/>
      </bottom>
      <diagonal/>
    </border>
    <border>
      <left style="medium">
        <color rgb="FFC2D9DC"/>
      </left>
      <right style="medium">
        <color rgb="FFB0DFE5"/>
      </right>
      <top style="mediumDashed">
        <color theme="3" tint="-0.24994659260841701"/>
      </top>
      <bottom style="mediumDashed">
        <color theme="3" tint="-0.24994659260841701"/>
      </bottom>
      <diagonal/>
    </border>
    <border>
      <left style="medium">
        <color theme="0" tint="-0.24994659260841701"/>
      </left>
      <right/>
      <top/>
      <bottom/>
      <diagonal/>
    </border>
    <border>
      <left style="medium">
        <color theme="0" tint="-0.24994659260841701"/>
      </left>
      <right/>
      <top style="mediumDashed">
        <color theme="1"/>
      </top>
      <bottom/>
      <diagonal/>
    </border>
    <border>
      <left style="thick">
        <color theme="0" tint="-0.14993743705557422"/>
      </left>
      <right/>
      <top style="hair">
        <color theme="0" tint="-0.14996795556505021"/>
      </top>
      <bottom style="hair">
        <color auto="1"/>
      </bottom>
      <diagonal/>
    </border>
    <border>
      <left style="thick">
        <color theme="0" tint="-0.14993743705557422"/>
      </left>
      <right/>
      <top style="hair">
        <color auto="1"/>
      </top>
      <bottom style="hair">
        <color auto="1"/>
      </bottom>
      <diagonal/>
    </border>
    <border>
      <left style="thick">
        <color theme="0" tint="-0.14993743705557422"/>
      </left>
      <right/>
      <top style="hair">
        <color auto="1"/>
      </top>
      <bottom style="medium">
        <color theme="0" tint="-0.1498764000366222"/>
      </bottom>
      <diagonal/>
    </border>
    <border>
      <left/>
      <right style="hair">
        <color auto="1"/>
      </right>
      <top style="thin">
        <color theme="0" tint="-0.14996795556505021"/>
      </top>
      <bottom style="hair">
        <color auto="1"/>
      </bottom>
      <diagonal/>
    </border>
    <border>
      <left style="thin">
        <color theme="0" tint="-0.14996795556505021"/>
      </left>
      <right style="hair">
        <color theme="0" tint="-0.24994659260841701"/>
      </right>
      <top/>
      <bottom/>
      <diagonal/>
    </border>
    <border>
      <left/>
      <right/>
      <top/>
      <bottom style="mediumDashed">
        <color theme="0" tint="-0.499984740745262"/>
      </bottom>
      <diagonal/>
    </border>
    <border>
      <left style="thin">
        <color theme="0" tint="-0.14996795556505021"/>
      </left>
      <right style="hair">
        <color auto="1"/>
      </right>
      <top/>
      <bottom style="dashed">
        <color theme="0" tint="-0.14993743705557422"/>
      </bottom>
      <diagonal/>
    </border>
    <border>
      <left style="thin">
        <color theme="0" tint="-0.14996795556505021"/>
      </left>
      <right style="hair">
        <color auto="1"/>
      </right>
      <top style="dashed">
        <color theme="0" tint="-0.14993743705557422"/>
      </top>
      <bottom style="dashed">
        <color theme="0" tint="-0.14993743705557422"/>
      </bottom>
      <diagonal/>
    </border>
    <border>
      <left style="thin">
        <color theme="0" tint="-0.14996795556505021"/>
      </left>
      <right style="hair">
        <color auto="1"/>
      </right>
      <top style="dashed">
        <color theme="0" tint="-0.14993743705557422"/>
      </top>
      <bottom style="medium">
        <color theme="0" tint="-0.14993743705557422"/>
      </bottom>
      <diagonal/>
    </border>
    <border>
      <left/>
      <right style="medium">
        <color theme="9"/>
      </right>
      <top/>
      <bottom style="thin">
        <color theme="0" tint="-0.14996795556505021"/>
      </bottom>
      <diagonal/>
    </border>
    <border>
      <left style="dotted">
        <color theme="0" tint="-0.14996795556505021"/>
      </left>
      <right/>
      <top style="mediumDashed">
        <color theme="1" tint="0.499984740745262"/>
      </top>
      <bottom style="medium">
        <color indexed="64"/>
      </bottom>
      <diagonal/>
    </border>
    <border>
      <left/>
      <right style="medium">
        <color theme="9"/>
      </right>
      <top style="mediumDashed">
        <color theme="1" tint="0.499984740745262"/>
      </top>
      <bottom style="medium">
        <color indexed="64"/>
      </bottom>
      <diagonal/>
    </border>
    <border>
      <left/>
      <right/>
      <top style="thin">
        <color theme="0" tint="-0.14996795556505021"/>
      </top>
      <bottom style="mediumDashed">
        <color theme="0" tint="-0.499984740745262"/>
      </bottom>
      <diagonal/>
    </border>
    <border>
      <left/>
      <right style="thin">
        <color theme="0" tint="-0.14996795556505021"/>
      </right>
      <top style="thin">
        <color theme="0" tint="-0.14996795556505021"/>
      </top>
      <bottom style="mediumDashed">
        <color theme="0" tint="-0.499984740745262"/>
      </bottom>
      <diagonal/>
    </border>
  </borders>
  <cellStyleXfs count="2">
    <xf numFmtId="0" fontId="0" fillId="0" borderId="0"/>
    <xf numFmtId="9" fontId="1" fillId="0" borderId="0" applyFont="0" applyFill="0" applyBorder="0" applyAlignment="0" applyProtection="0"/>
  </cellStyleXfs>
  <cellXfs count="505">
    <xf numFmtId="0" fontId="0" fillId="0" borderId="0" xfId="0"/>
    <xf numFmtId="9" fontId="0" fillId="0" borderId="0" xfId="0" applyNumberFormat="1"/>
    <xf numFmtId="0" fontId="0" fillId="0" borderId="10" xfId="0" applyBorder="1"/>
    <xf numFmtId="0" fontId="0" fillId="0" borderId="13" xfId="0" applyBorder="1"/>
    <xf numFmtId="0" fontId="4" fillId="0" borderId="0" xfId="0" applyFont="1" applyAlignment="1">
      <alignment horizontal="center" vertical="center"/>
    </xf>
    <xf numFmtId="0" fontId="5" fillId="0" borderId="0" xfId="0" applyFont="1" applyAlignment="1">
      <alignment vertical="center"/>
    </xf>
    <xf numFmtId="0" fontId="2" fillId="3" borderId="0" xfId="0" applyFont="1" applyFill="1" applyAlignment="1">
      <alignment vertical="top" wrapText="1"/>
    </xf>
    <xf numFmtId="0" fontId="7" fillId="0" borderId="0" xfId="0" applyFont="1" applyAlignment="1">
      <alignment vertical="center" wrapText="1"/>
    </xf>
    <xf numFmtId="0" fontId="7" fillId="0" borderId="0" xfId="0" applyFont="1" applyAlignment="1">
      <alignment vertical="center"/>
    </xf>
    <xf numFmtId="0" fontId="8" fillId="2" borderId="15" xfId="0" applyFont="1" applyFill="1" applyBorder="1"/>
    <xf numFmtId="0" fontId="8" fillId="2" borderId="0" xfId="0" applyFont="1" applyFill="1"/>
    <xf numFmtId="0" fontId="2" fillId="0" borderId="0" xfId="0" applyFont="1" applyAlignment="1">
      <alignment vertical="center"/>
    </xf>
    <xf numFmtId="0" fontId="0" fillId="0" borderId="18" xfId="0" applyBorder="1"/>
    <xf numFmtId="0" fontId="6" fillId="0" borderId="23" xfId="0" applyFont="1" applyBorder="1" applyAlignment="1">
      <alignment vertical="center" wrapText="1"/>
    </xf>
    <xf numFmtId="0" fontId="6" fillId="0" borderId="24" xfId="0" applyFont="1" applyBorder="1" applyAlignment="1">
      <alignment vertical="center" wrapText="1"/>
    </xf>
    <xf numFmtId="0" fontId="0" fillId="0" borderId="29" xfId="0" applyBorder="1"/>
    <xf numFmtId="14" fontId="0" fillId="0" borderId="0" xfId="0" applyNumberFormat="1"/>
    <xf numFmtId="0" fontId="9" fillId="4" borderId="34" xfId="0" applyFont="1" applyFill="1" applyBorder="1" applyAlignment="1">
      <alignment vertical="center"/>
    </xf>
    <xf numFmtId="0" fontId="0" fillId="4" borderId="21" xfId="0" applyFill="1" applyBorder="1" applyAlignment="1">
      <alignment vertical="center"/>
    </xf>
    <xf numFmtId="0" fontId="0" fillId="6" borderId="0" xfId="0" applyFill="1"/>
    <xf numFmtId="0" fontId="0" fillId="0" borderId="0" xfId="0" quotePrefix="1"/>
    <xf numFmtId="14" fontId="0" fillId="0" borderId="0" xfId="0" quotePrefix="1" applyNumberFormat="1"/>
    <xf numFmtId="0" fontId="0" fillId="6" borderId="17" xfId="0" applyFill="1" applyBorder="1"/>
    <xf numFmtId="0" fontId="0" fillId="6" borderId="18" xfId="0" applyFill="1" applyBorder="1"/>
    <xf numFmtId="0" fontId="0" fillId="6" borderId="19" xfId="0" applyFill="1" applyBorder="1"/>
    <xf numFmtId="0" fontId="0" fillId="6" borderId="12" xfId="0" applyFill="1" applyBorder="1"/>
    <xf numFmtId="0" fontId="0" fillId="6" borderId="13" xfId="0" applyFill="1" applyBorder="1"/>
    <xf numFmtId="0" fontId="0" fillId="6" borderId="14" xfId="0" applyFill="1" applyBorder="1"/>
    <xf numFmtId="0" fontId="0" fillId="6" borderId="9" xfId="0" applyFill="1" applyBorder="1"/>
    <xf numFmtId="0" fontId="0" fillId="6" borderId="10" xfId="0" applyFill="1" applyBorder="1"/>
    <xf numFmtId="0" fontId="0" fillId="6" borderId="11" xfId="0" applyFill="1" applyBorder="1"/>
    <xf numFmtId="0" fontId="0" fillId="7" borderId="2" xfId="0" applyFill="1" applyBorder="1"/>
    <xf numFmtId="0" fontId="0" fillId="7" borderId="1" xfId="0" applyFill="1" applyBorder="1"/>
    <xf numFmtId="0" fontId="0" fillId="7" borderId="4" xfId="0" applyFill="1" applyBorder="1"/>
    <xf numFmtId="0" fontId="0" fillId="7" borderId="0" xfId="0" applyFill="1"/>
    <xf numFmtId="0" fontId="0" fillId="7" borderId="3" xfId="0" applyFill="1" applyBorder="1"/>
    <xf numFmtId="0" fontId="0" fillId="7" borderId="5" xfId="0" applyFill="1" applyBorder="1"/>
    <xf numFmtId="0" fontId="0" fillId="0" borderId="4" xfId="0" applyBorder="1"/>
    <xf numFmtId="0" fontId="0" fillId="0" borderId="5" xfId="0" applyBorder="1"/>
    <xf numFmtId="0" fontId="13" fillId="0" borderId="44" xfId="0" applyFont="1" applyBorder="1"/>
    <xf numFmtId="0" fontId="13" fillId="0" borderId="0" xfId="0" applyFont="1"/>
    <xf numFmtId="0" fontId="14" fillId="0" borderId="0" xfId="0" applyFont="1" applyAlignment="1">
      <alignment horizontal="center"/>
    </xf>
    <xf numFmtId="0" fontId="14" fillId="0" borderId="0" xfId="0" applyFont="1"/>
    <xf numFmtId="164" fontId="14" fillId="0" borderId="0" xfId="1" applyNumberFormat="1" applyFont="1" applyFill="1" applyBorder="1"/>
    <xf numFmtId="0" fontId="9" fillId="0" borderId="51" xfId="0" applyFont="1" applyBorder="1"/>
    <xf numFmtId="164" fontId="9" fillId="0" borderId="52" xfId="1" applyNumberFormat="1" applyFont="1" applyFill="1" applyBorder="1"/>
    <xf numFmtId="0" fontId="9" fillId="0" borderId="57" xfId="0" applyFont="1" applyBorder="1"/>
    <xf numFmtId="0" fontId="9" fillId="0" borderId="40" xfId="0" applyFont="1" applyBorder="1"/>
    <xf numFmtId="0" fontId="3" fillId="0" borderId="53" xfId="0" applyFont="1" applyBorder="1"/>
    <xf numFmtId="164" fontId="3" fillId="0" borderId="54" xfId="1" applyNumberFormat="1" applyFont="1" applyFill="1" applyBorder="1"/>
    <xf numFmtId="0" fontId="3" fillId="0" borderId="59" xfId="0" applyFont="1" applyBorder="1"/>
    <xf numFmtId="164" fontId="3" fillId="0" borderId="60" xfId="1" applyNumberFormat="1" applyFont="1" applyFill="1" applyBorder="1"/>
    <xf numFmtId="0" fontId="3" fillId="0" borderId="46" xfId="0" applyFont="1" applyBorder="1"/>
    <xf numFmtId="164" fontId="3" fillId="0" borderId="44" xfId="1" applyNumberFormat="1" applyFont="1" applyFill="1" applyBorder="1"/>
    <xf numFmtId="0" fontId="3" fillId="0" borderId="44" xfId="0" applyFont="1" applyBorder="1"/>
    <xf numFmtId="0" fontId="11" fillId="7" borderId="2" xfId="0" applyFont="1" applyFill="1" applyBorder="1" applyAlignment="1">
      <alignment horizontal="left"/>
    </xf>
    <xf numFmtId="0" fontId="15" fillId="7" borderId="2" xfId="0" applyFont="1" applyFill="1" applyBorder="1"/>
    <xf numFmtId="164" fontId="9" fillId="0" borderId="58" xfId="1" applyNumberFormat="1" applyFont="1" applyFill="1" applyBorder="1"/>
    <xf numFmtId="164" fontId="9" fillId="0" borderId="40" xfId="1" applyNumberFormat="1" applyFont="1" applyFill="1" applyBorder="1"/>
    <xf numFmtId="0" fontId="16" fillId="7" borderId="2" xfId="0" applyFont="1" applyFill="1" applyBorder="1" applyAlignment="1">
      <alignment horizontal="left"/>
    </xf>
    <xf numFmtId="0" fontId="6" fillId="0" borderId="65" xfId="0" applyFont="1" applyBorder="1" applyAlignment="1">
      <alignment vertical="center" wrapText="1"/>
    </xf>
    <xf numFmtId="0" fontId="17" fillId="0" borderId="0" xfId="0" applyFont="1"/>
    <xf numFmtId="0" fontId="17" fillId="0" borderId="0" xfId="0" applyFont="1" applyAlignment="1">
      <alignment vertical="center"/>
    </xf>
    <xf numFmtId="164" fontId="0" fillId="0" borderId="0" xfId="1" applyNumberFormat="1" applyFont="1"/>
    <xf numFmtId="164" fontId="0" fillId="0" borderId="0" xfId="0" applyNumberFormat="1"/>
    <xf numFmtId="0" fontId="2" fillId="0" borderId="0" xfId="0" applyFont="1"/>
    <xf numFmtId="0" fontId="18" fillId="0" borderId="0" xfId="0" applyFont="1" applyAlignment="1">
      <alignment horizontal="left" vertical="center" indent="4"/>
    </xf>
    <xf numFmtId="0" fontId="18" fillId="0" borderId="0" xfId="0" applyFont="1"/>
    <xf numFmtId="0" fontId="20" fillId="0" borderId="29" xfId="0" applyFont="1" applyBorder="1"/>
    <xf numFmtId="0" fontId="20" fillId="0" borderId="10" xfId="0" applyFont="1" applyBorder="1"/>
    <xf numFmtId="0" fontId="20" fillId="0" borderId="13" xfId="0" applyFont="1" applyBorder="1"/>
    <xf numFmtId="0" fontId="19" fillId="0" borderId="28" xfId="0" applyFont="1" applyBorder="1"/>
    <xf numFmtId="0" fontId="21" fillId="0" borderId="29" xfId="0" applyFont="1" applyBorder="1"/>
    <xf numFmtId="0" fontId="19" fillId="0" borderId="32" xfId="0" applyFont="1" applyBorder="1"/>
    <xf numFmtId="0" fontId="21" fillId="0" borderId="10" xfId="0" applyFont="1" applyBorder="1"/>
    <xf numFmtId="0" fontId="19" fillId="0" borderId="33" xfId="0" applyFont="1" applyBorder="1"/>
    <xf numFmtId="0" fontId="21" fillId="0" borderId="13" xfId="0" applyFont="1" applyBorder="1"/>
    <xf numFmtId="0" fontId="19" fillId="0" borderId="35" xfId="0" applyFont="1" applyBorder="1"/>
    <xf numFmtId="0" fontId="21" fillId="0" borderId="18" xfId="0" applyFont="1" applyBorder="1"/>
    <xf numFmtId="0" fontId="21" fillId="0" borderId="16" xfId="0" applyFont="1" applyBorder="1"/>
    <xf numFmtId="0" fontId="20" fillId="0" borderId="18" xfId="0" applyFont="1" applyBorder="1"/>
    <xf numFmtId="0" fontId="20" fillId="0" borderId="30" xfId="1" applyNumberFormat="1" applyFont="1" applyBorder="1"/>
    <xf numFmtId="164" fontId="20" fillId="0" borderId="30" xfId="1" applyNumberFormat="1" applyFont="1" applyBorder="1"/>
    <xf numFmtId="0" fontId="20" fillId="0" borderId="11" xfId="1" applyNumberFormat="1" applyFont="1" applyBorder="1"/>
    <xf numFmtId="164" fontId="20" fillId="0" borderId="11" xfId="1" applyNumberFormat="1" applyFont="1" applyBorder="1"/>
    <xf numFmtId="0" fontId="20" fillId="0" borderId="14" xfId="1" applyNumberFormat="1" applyFont="1" applyBorder="1"/>
    <xf numFmtId="164" fontId="20" fillId="0" borderId="14" xfId="1" applyNumberFormat="1" applyFont="1" applyBorder="1"/>
    <xf numFmtId="0" fontId="20" fillId="0" borderId="19" xfId="1" applyNumberFormat="1" applyFont="1" applyBorder="1"/>
    <xf numFmtId="164" fontId="20" fillId="0" borderId="19" xfId="1" applyNumberFormat="1" applyFont="1" applyBorder="1"/>
    <xf numFmtId="0" fontId="20" fillId="0" borderId="19" xfId="1" applyNumberFormat="1" applyFont="1" applyFill="1" applyBorder="1"/>
    <xf numFmtId="0" fontId="20" fillId="0" borderId="11" xfId="1" applyNumberFormat="1" applyFont="1" applyFill="1" applyBorder="1"/>
    <xf numFmtId="0" fontId="20" fillId="0" borderId="81" xfId="1" applyNumberFormat="1" applyFont="1" applyBorder="1"/>
    <xf numFmtId="164" fontId="20" fillId="0" borderId="81" xfId="1" applyNumberFormat="1" applyFont="1" applyBorder="1"/>
    <xf numFmtId="164" fontId="20" fillId="0" borderId="10" xfId="1" applyNumberFormat="1" applyFont="1" applyFill="1" applyBorder="1"/>
    <xf numFmtId="0" fontId="20" fillId="0" borderId="10" xfId="1" applyNumberFormat="1" applyFont="1" applyFill="1" applyBorder="1"/>
    <xf numFmtId="164" fontId="20" fillId="0" borderId="13" xfId="1" applyNumberFormat="1" applyFont="1" applyFill="1" applyBorder="1"/>
    <xf numFmtId="0" fontId="20" fillId="0" borderId="13" xfId="1" applyNumberFormat="1" applyFont="1" applyFill="1" applyBorder="1"/>
    <xf numFmtId="164" fontId="20" fillId="0" borderId="18" xfId="1" applyNumberFormat="1" applyFont="1" applyFill="1" applyBorder="1"/>
    <xf numFmtId="0" fontId="20" fillId="0" borderId="18" xfId="1" applyNumberFormat="1" applyFont="1" applyFill="1" applyBorder="1"/>
    <xf numFmtId="0" fontId="20" fillId="0" borderId="76" xfId="1" applyNumberFormat="1" applyFont="1" applyBorder="1"/>
    <xf numFmtId="0" fontId="20" fillId="0" borderId="77" xfId="1" applyNumberFormat="1" applyFont="1" applyBorder="1"/>
    <xf numFmtId="0" fontId="20" fillId="0" borderId="78" xfId="1" applyNumberFormat="1" applyFont="1" applyBorder="1"/>
    <xf numFmtId="0" fontId="20" fillId="0" borderId="41" xfId="1" applyNumberFormat="1" applyFont="1" applyBorder="1"/>
    <xf numFmtId="0" fontId="20" fillId="0" borderId="0" xfId="1" applyNumberFormat="1" applyFont="1" applyBorder="1"/>
    <xf numFmtId="0" fontId="20" fillId="0" borderId="91" xfId="1" applyNumberFormat="1" applyFont="1" applyBorder="1"/>
    <xf numFmtId="0" fontId="20" fillId="0" borderId="92" xfId="1" applyNumberFormat="1" applyFont="1" applyBorder="1"/>
    <xf numFmtId="0" fontId="20" fillId="0" borderId="93" xfId="1" applyNumberFormat="1" applyFont="1" applyBorder="1"/>
    <xf numFmtId="0" fontId="20" fillId="0" borderId="95" xfId="1" applyNumberFormat="1" applyFont="1" applyBorder="1"/>
    <xf numFmtId="0" fontId="20" fillId="0" borderId="95" xfId="1" applyNumberFormat="1" applyFont="1" applyFill="1" applyBorder="1"/>
    <xf numFmtId="0" fontId="20" fillId="0" borderId="92" xfId="1" applyNumberFormat="1" applyFont="1" applyFill="1" applyBorder="1"/>
    <xf numFmtId="0" fontId="20" fillId="0" borderId="96" xfId="1" applyNumberFormat="1" applyFont="1" applyBorder="1"/>
    <xf numFmtId="164" fontId="20" fillId="0" borderId="99" xfId="1" applyNumberFormat="1" applyFont="1" applyBorder="1"/>
    <xf numFmtId="0" fontId="10" fillId="10" borderId="0" xfId="0" applyFont="1" applyFill="1" applyAlignment="1">
      <alignment horizontal="center"/>
    </xf>
    <xf numFmtId="0" fontId="0" fillId="0" borderId="100" xfId="0" applyBorder="1" applyAlignment="1">
      <alignment horizontal="center"/>
    </xf>
    <xf numFmtId="0" fontId="0" fillId="0" borderId="29" xfId="0" applyBorder="1" applyAlignment="1">
      <alignment horizontal="center"/>
    </xf>
    <xf numFmtId="0" fontId="0" fillId="0" borderId="101" xfId="0" applyBorder="1" applyAlignment="1">
      <alignment horizontal="center"/>
    </xf>
    <xf numFmtId="0" fontId="0" fillId="0" borderId="10" xfId="0" applyBorder="1" applyAlignment="1">
      <alignment horizontal="center"/>
    </xf>
    <xf numFmtId="0" fontId="0" fillId="0" borderId="102" xfId="0" applyBorder="1" applyAlignment="1">
      <alignment horizontal="center"/>
    </xf>
    <xf numFmtId="0" fontId="0" fillId="0" borderId="13" xfId="0" applyBorder="1" applyAlignment="1">
      <alignment horizontal="center"/>
    </xf>
    <xf numFmtId="0" fontId="0" fillId="9" borderId="103" xfId="0" applyFill="1" applyBorder="1" applyAlignment="1">
      <alignment horizontal="center" vertical="center"/>
    </xf>
    <xf numFmtId="0" fontId="0" fillId="9" borderId="21" xfId="0" applyFill="1" applyBorder="1" applyAlignment="1">
      <alignment horizontal="center" vertical="center"/>
    </xf>
    <xf numFmtId="0" fontId="0" fillId="0" borderId="104" xfId="0" applyBorder="1" applyAlignment="1">
      <alignment horizontal="center"/>
    </xf>
    <xf numFmtId="0" fontId="0" fillId="0" borderId="18" xfId="0" applyBorder="1" applyAlignment="1">
      <alignment horizontal="center"/>
    </xf>
    <xf numFmtId="164" fontId="0" fillId="0" borderId="10" xfId="1" applyNumberFormat="1" applyFont="1" applyFill="1" applyBorder="1" applyAlignment="1">
      <alignment horizontal="center"/>
    </xf>
    <xf numFmtId="164" fontId="0" fillId="0" borderId="13" xfId="1" applyNumberFormat="1" applyFont="1" applyFill="1" applyBorder="1" applyAlignment="1">
      <alignment horizontal="center"/>
    </xf>
    <xf numFmtId="164" fontId="0" fillId="0" borderId="18" xfId="1" applyNumberFormat="1" applyFont="1" applyFill="1" applyBorder="1" applyAlignment="1">
      <alignment horizontal="center"/>
    </xf>
    <xf numFmtId="0" fontId="22" fillId="0" borderId="0" xfId="0" applyFont="1" applyAlignment="1">
      <alignment horizontal="left" vertical="top"/>
    </xf>
    <xf numFmtId="0" fontId="0" fillId="11" borderId="21" xfId="0" applyFill="1" applyBorder="1" applyAlignment="1">
      <alignment horizontal="center" vertical="center"/>
    </xf>
    <xf numFmtId="164" fontId="0" fillId="11" borderId="21" xfId="1" applyNumberFormat="1" applyFont="1" applyFill="1" applyBorder="1" applyAlignment="1">
      <alignment horizontal="center" vertical="center"/>
    </xf>
    <xf numFmtId="0" fontId="6" fillId="9" borderId="107" xfId="0" applyFont="1" applyFill="1" applyBorder="1" applyAlignment="1">
      <alignment vertical="center" wrapText="1"/>
    </xf>
    <xf numFmtId="0" fontId="0" fillId="12" borderId="21" xfId="0" applyFill="1" applyBorder="1" applyAlignment="1">
      <alignment vertical="center"/>
    </xf>
    <xf numFmtId="164" fontId="20" fillId="12" borderId="21" xfId="1" applyNumberFormat="1" applyFont="1" applyFill="1" applyBorder="1" applyAlignment="1">
      <alignment vertical="center"/>
    </xf>
    <xf numFmtId="0" fontId="20" fillId="12" borderId="21" xfId="1" applyNumberFormat="1" applyFont="1" applyFill="1" applyBorder="1" applyAlignment="1">
      <alignment vertical="center"/>
    </xf>
    <xf numFmtId="0" fontId="20" fillId="12" borderId="21" xfId="0" applyFont="1" applyFill="1" applyBorder="1" applyAlignment="1">
      <alignment vertical="center"/>
    </xf>
    <xf numFmtId="164" fontId="20" fillId="12" borderId="87" xfId="1" applyNumberFormat="1" applyFont="1" applyFill="1" applyBorder="1" applyAlignment="1">
      <alignment vertical="center"/>
    </xf>
    <xf numFmtId="164" fontId="20" fillId="0" borderId="16" xfId="1" applyNumberFormat="1" applyFont="1" applyFill="1" applyBorder="1"/>
    <xf numFmtId="0" fontId="20" fillId="0" borderId="16" xfId="1" applyNumberFormat="1" applyFont="1" applyFill="1" applyBorder="1"/>
    <xf numFmtId="0" fontId="20" fillId="8" borderId="94" xfId="1" applyNumberFormat="1" applyFont="1" applyFill="1" applyBorder="1" applyAlignment="1">
      <alignment vertical="center"/>
    </xf>
    <xf numFmtId="0" fontId="20" fillId="8" borderId="22" xfId="1" applyNumberFormat="1" applyFont="1" applyFill="1" applyBorder="1" applyAlignment="1">
      <alignment vertical="center"/>
    </xf>
    <xf numFmtId="164" fontId="20" fillId="8" borderId="22" xfId="1" applyNumberFormat="1" applyFont="1" applyFill="1" applyBorder="1" applyAlignment="1">
      <alignment vertical="center"/>
    </xf>
    <xf numFmtId="0" fontId="0" fillId="8" borderId="94" xfId="1" applyNumberFormat="1" applyFont="1" applyFill="1" applyBorder="1" applyAlignment="1">
      <alignment vertical="center"/>
    </xf>
    <xf numFmtId="0" fontId="0" fillId="8" borderId="22" xfId="1" applyNumberFormat="1" applyFont="1" applyFill="1" applyBorder="1" applyAlignment="1">
      <alignment vertical="center"/>
    </xf>
    <xf numFmtId="164" fontId="0" fillId="8" borderId="22" xfId="1" applyNumberFormat="1" applyFont="1" applyFill="1" applyBorder="1" applyAlignment="1">
      <alignment vertical="center"/>
    </xf>
    <xf numFmtId="0" fontId="20" fillId="10" borderId="79" xfId="1" applyNumberFormat="1" applyFont="1" applyFill="1" applyBorder="1" applyAlignment="1">
      <alignment vertical="center"/>
    </xf>
    <xf numFmtId="0" fontId="0" fillId="13" borderId="21" xfId="0" applyFill="1" applyBorder="1" applyAlignment="1">
      <alignment vertical="center"/>
    </xf>
    <xf numFmtId="0" fontId="20" fillId="13" borderId="21" xfId="0" applyFont="1" applyFill="1" applyBorder="1" applyAlignment="1">
      <alignment vertical="center"/>
    </xf>
    <xf numFmtId="0" fontId="23" fillId="5" borderId="36" xfId="0" applyFont="1" applyFill="1" applyBorder="1" applyAlignment="1">
      <alignment vertical="center"/>
    </xf>
    <xf numFmtId="0" fontId="23" fillId="5" borderId="37" xfId="0" applyFont="1" applyFill="1" applyBorder="1" applyAlignment="1">
      <alignment vertical="center"/>
    </xf>
    <xf numFmtId="0" fontId="24" fillId="9" borderId="84" xfId="0" applyFont="1" applyFill="1" applyBorder="1" applyAlignment="1">
      <alignment horizontal="center" vertical="center"/>
    </xf>
    <xf numFmtId="0" fontId="24" fillId="9" borderId="7" xfId="0" applyFont="1" applyFill="1" applyBorder="1" applyAlignment="1">
      <alignment horizontal="center" vertical="center"/>
    </xf>
    <xf numFmtId="164" fontId="24" fillId="9" borderId="7" xfId="1" applyNumberFormat="1" applyFont="1" applyFill="1" applyBorder="1" applyAlignment="1">
      <alignment horizontal="center" vertical="center"/>
    </xf>
    <xf numFmtId="0" fontId="24" fillId="11" borderId="37" xfId="0" applyFont="1" applyFill="1" applyBorder="1" applyAlignment="1">
      <alignment horizontal="center" vertical="center"/>
    </xf>
    <xf numFmtId="164" fontId="24" fillId="11" borderId="37" xfId="1" applyNumberFormat="1" applyFont="1" applyFill="1" applyBorder="1" applyAlignment="1">
      <alignment horizontal="center" vertical="center"/>
    </xf>
    <xf numFmtId="0" fontId="24" fillId="8" borderId="97" xfId="1" applyNumberFormat="1" applyFont="1" applyFill="1" applyBorder="1" applyAlignment="1">
      <alignment vertical="center"/>
    </xf>
    <xf numFmtId="0" fontId="24" fillId="8" borderId="38" xfId="1" applyNumberFormat="1" applyFont="1" applyFill="1" applyBorder="1" applyAlignment="1">
      <alignment vertical="center"/>
    </xf>
    <xf numFmtId="164" fontId="24" fillId="8" borderId="38" xfId="1" applyNumberFormat="1" applyFont="1" applyFill="1" applyBorder="1" applyAlignment="1">
      <alignment vertical="center"/>
    </xf>
    <xf numFmtId="0" fontId="25" fillId="0" borderId="0" xfId="0" applyFont="1"/>
    <xf numFmtId="0" fontId="0" fillId="13" borderId="109" xfId="0" applyFill="1" applyBorder="1" applyAlignment="1">
      <alignment vertical="center"/>
    </xf>
    <xf numFmtId="0" fontId="20" fillId="13" borderId="109" xfId="0" applyFont="1" applyFill="1" applyBorder="1" applyAlignment="1">
      <alignment vertical="center"/>
    </xf>
    <xf numFmtId="0" fontId="24" fillId="13" borderId="110" xfId="0" applyFont="1" applyFill="1" applyBorder="1" applyAlignment="1">
      <alignment vertical="center"/>
    </xf>
    <xf numFmtId="0" fontId="0" fillId="12" borderId="109" xfId="0" applyFill="1" applyBorder="1" applyAlignment="1">
      <alignment vertical="center"/>
    </xf>
    <xf numFmtId="164" fontId="0" fillId="12" borderId="109" xfId="1" applyNumberFormat="1" applyFont="1" applyFill="1" applyBorder="1" applyAlignment="1">
      <alignment vertical="center"/>
    </xf>
    <xf numFmtId="0" fontId="0" fillId="12" borderId="109" xfId="1" applyNumberFormat="1" applyFont="1" applyFill="1" applyBorder="1" applyAlignment="1">
      <alignment vertical="center"/>
    </xf>
    <xf numFmtId="0" fontId="24" fillId="12" borderId="110" xfId="0" applyFont="1" applyFill="1" applyBorder="1" applyAlignment="1">
      <alignment vertical="center"/>
    </xf>
    <xf numFmtId="164" fontId="24" fillId="12" borderId="110" xfId="1" applyNumberFormat="1" applyFont="1" applyFill="1" applyBorder="1" applyAlignment="1">
      <alignment vertical="center"/>
    </xf>
    <xf numFmtId="0" fontId="24" fillId="12" borderId="110" xfId="1" applyNumberFormat="1" applyFont="1" applyFill="1" applyBorder="1" applyAlignment="1">
      <alignment vertical="center"/>
    </xf>
    <xf numFmtId="0" fontId="10" fillId="6" borderId="12" xfId="0" applyFont="1" applyFill="1" applyBorder="1" applyAlignment="1">
      <alignment horizontal="right"/>
    </xf>
    <xf numFmtId="14" fontId="10" fillId="6" borderId="13" xfId="0" applyNumberFormat="1" applyFont="1" applyFill="1" applyBorder="1"/>
    <xf numFmtId="0" fontId="0" fillId="6" borderId="81" xfId="0" applyFill="1" applyBorder="1"/>
    <xf numFmtId="0" fontId="9" fillId="0" borderId="114" xfId="0" applyFont="1" applyBorder="1"/>
    <xf numFmtId="0" fontId="3" fillId="0" borderId="115" xfId="0" applyFont="1" applyBorder="1"/>
    <xf numFmtId="0" fontId="9" fillId="0" borderId="43" xfId="0" applyFont="1" applyBorder="1"/>
    <xf numFmtId="0" fontId="3" fillId="0" borderId="45" xfId="0" applyFont="1" applyBorder="1"/>
    <xf numFmtId="0" fontId="26" fillId="0" borderId="42" xfId="0" applyFont="1" applyBorder="1"/>
    <xf numFmtId="0" fontId="27" fillId="0" borderId="49" xfId="0" applyFont="1" applyBorder="1"/>
    <xf numFmtId="164" fontId="27" fillId="0" borderId="50" xfId="1" applyNumberFormat="1" applyFont="1" applyFill="1" applyBorder="1"/>
    <xf numFmtId="0" fontId="27" fillId="0" borderId="55" xfId="0" applyFont="1" applyBorder="1"/>
    <xf numFmtId="0" fontId="27" fillId="0" borderId="113" xfId="0" applyFont="1" applyBorder="1"/>
    <xf numFmtId="164" fontId="27" fillId="0" borderId="56" xfId="1" applyNumberFormat="1" applyFont="1" applyFill="1" applyBorder="1"/>
    <xf numFmtId="0" fontId="27" fillId="0" borderId="42" xfId="0" applyFont="1" applyBorder="1"/>
    <xf numFmtId="164" fontId="27" fillId="0" borderId="42" xfId="1" applyNumberFormat="1" applyFont="1" applyFill="1" applyBorder="1"/>
    <xf numFmtId="0" fontId="27" fillId="0" borderId="120" xfId="0" applyFont="1" applyBorder="1"/>
    <xf numFmtId="0" fontId="0" fillId="4" borderId="4" xfId="0" applyFill="1" applyBorder="1"/>
    <xf numFmtId="0" fontId="0" fillId="4" borderId="0" xfId="0" applyFill="1"/>
    <xf numFmtId="0" fontId="0" fillId="4" borderId="5" xfId="0" applyFill="1" applyBorder="1"/>
    <xf numFmtId="0" fontId="0" fillId="4" borderId="6" xfId="0" applyFill="1" applyBorder="1"/>
    <xf numFmtId="0" fontId="0" fillId="4" borderId="7" xfId="0" applyFill="1" applyBorder="1"/>
    <xf numFmtId="0" fontId="0" fillId="4" borderId="8" xfId="0" applyFill="1" applyBorder="1"/>
    <xf numFmtId="0" fontId="0" fillId="0" borderId="13" xfId="1" applyNumberFormat="1" applyFont="1" applyFill="1" applyBorder="1"/>
    <xf numFmtId="0" fontId="0" fillId="0" borderId="93" xfId="1" applyNumberFormat="1" applyFont="1" applyBorder="1"/>
    <xf numFmtId="0" fontId="0" fillId="0" borderId="14" xfId="1" applyNumberFormat="1" applyFont="1" applyBorder="1"/>
    <xf numFmtId="0" fontId="0" fillId="0" borderId="78" xfId="1" applyNumberFormat="1" applyFont="1" applyBorder="1"/>
    <xf numFmtId="0" fontId="0" fillId="0" borderId="18" xfId="1" applyNumberFormat="1" applyFont="1" applyFill="1" applyBorder="1"/>
    <xf numFmtId="0" fontId="0" fillId="0" borderId="95" xfId="1" applyNumberFormat="1" applyFont="1" applyBorder="1"/>
    <xf numFmtId="0" fontId="0" fillId="0" borderId="19" xfId="1" applyNumberFormat="1" applyFont="1" applyBorder="1"/>
    <xf numFmtId="0" fontId="0" fillId="0" borderId="41" xfId="1" applyNumberFormat="1" applyFont="1" applyBorder="1"/>
    <xf numFmtId="0" fontId="0" fillId="0" borderId="93" xfId="1" applyNumberFormat="1" applyFont="1" applyFill="1" applyBorder="1"/>
    <xf numFmtId="0" fontId="0" fillId="0" borderId="14" xfId="1" applyNumberFormat="1" applyFont="1" applyFill="1" applyBorder="1"/>
    <xf numFmtId="0" fontId="0" fillId="6" borderId="13" xfId="0" applyFill="1" applyBorder="1" applyAlignment="1">
      <alignment horizontal="right"/>
    </xf>
    <xf numFmtId="0" fontId="0" fillId="4" borderId="0" xfId="0" applyFill="1" applyAlignment="1">
      <alignment horizontal="right"/>
    </xf>
    <xf numFmtId="0" fontId="0" fillId="0" borderId="0" xfId="0" applyAlignment="1">
      <alignment horizontal="center"/>
    </xf>
    <xf numFmtId="0" fontId="0" fillId="6" borderId="0" xfId="0" applyFill="1" applyAlignment="1">
      <alignment horizontal="center"/>
    </xf>
    <xf numFmtId="0" fontId="0" fillId="6" borderId="112" xfId="0" applyFill="1" applyBorder="1" applyAlignment="1">
      <alignment horizontal="center"/>
    </xf>
    <xf numFmtId="0" fontId="6" fillId="8" borderId="105" xfId="0" applyFont="1" applyFill="1" applyBorder="1" applyAlignment="1">
      <alignment horizontal="center" vertical="center" wrapText="1"/>
    </xf>
    <xf numFmtId="0" fontId="3" fillId="0" borderId="0" xfId="0" applyFont="1" applyAlignment="1">
      <alignment horizontal="center" vertical="top"/>
    </xf>
    <xf numFmtId="0" fontId="6" fillId="13" borderId="27" xfId="0" applyFont="1" applyFill="1" applyBorder="1" applyAlignment="1">
      <alignment horizontal="center" vertical="center" wrapText="1"/>
    </xf>
    <xf numFmtId="0" fontId="6" fillId="9" borderId="108" xfId="0" applyFont="1" applyFill="1" applyBorder="1" applyAlignment="1">
      <alignment horizontal="center" vertical="center" wrapText="1"/>
    </xf>
    <xf numFmtId="0" fontId="3" fillId="0" borderId="74" xfId="0" applyFont="1" applyBorder="1"/>
    <xf numFmtId="0" fontId="27" fillId="0" borderId="70" xfId="0" applyFont="1" applyBorder="1"/>
    <xf numFmtId="0" fontId="9" fillId="0" borderId="72" xfId="0" applyFont="1" applyBorder="1"/>
    <xf numFmtId="0" fontId="6" fillId="11" borderId="121" xfId="0" applyFont="1" applyFill="1" applyBorder="1" applyAlignment="1">
      <alignment horizontal="center" vertical="center" wrapText="1"/>
    </xf>
    <xf numFmtId="0" fontId="10" fillId="9" borderId="123" xfId="0" applyFont="1" applyFill="1" applyBorder="1" applyAlignment="1">
      <alignment horizontal="center"/>
    </xf>
    <xf numFmtId="0" fontId="10" fillId="9" borderId="0" xfId="0" applyFont="1" applyFill="1" applyAlignment="1">
      <alignment horizontal="center"/>
    </xf>
    <xf numFmtId="0" fontId="10" fillId="8" borderId="0" xfId="0" applyFont="1" applyFill="1" applyAlignment="1">
      <alignment horizontal="center"/>
    </xf>
    <xf numFmtId="0" fontId="10" fillId="8" borderId="124" xfId="0" applyFont="1" applyFill="1" applyBorder="1" applyAlignment="1">
      <alignment horizontal="center"/>
    </xf>
    <xf numFmtId="0" fontId="10" fillId="13" borderId="0" xfId="0" applyFont="1" applyFill="1" applyAlignment="1">
      <alignment horizontal="center"/>
    </xf>
    <xf numFmtId="0" fontId="6" fillId="8" borderId="126" xfId="0" applyFont="1" applyFill="1" applyBorder="1" applyAlignment="1">
      <alignment horizontal="center" vertical="center" wrapText="1"/>
    </xf>
    <xf numFmtId="0" fontId="0" fillId="11" borderId="20" xfId="0" applyFill="1" applyBorder="1" applyAlignment="1">
      <alignment horizontal="center" vertical="center"/>
    </xf>
    <xf numFmtId="0" fontId="24" fillId="11" borderId="127" xfId="0" applyFont="1" applyFill="1" applyBorder="1" applyAlignment="1">
      <alignment horizontal="center" vertical="center"/>
    </xf>
    <xf numFmtId="0" fontId="10" fillId="10" borderId="125" xfId="0" applyFont="1" applyFill="1" applyBorder="1" applyAlignment="1">
      <alignment horizontal="center"/>
    </xf>
    <xf numFmtId="164" fontId="27" fillId="0" borderId="71" xfId="1" applyNumberFormat="1" applyFont="1" applyFill="1" applyBorder="1" applyAlignment="1"/>
    <xf numFmtId="1" fontId="9" fillId="0" borderId="114" xfId="1" applyNumberFormat="1" applyFont="1" applyFill="1" applyBorder="1"/>
    <xf numFmtId="164" fontId="9" fillId="0" borderId="73" xfId="1" applyNumberFormat="1" applyFont="1" applyFill="1" applyBorder="1" applyAlignment="1"/>
    <xf numFmtId="164" fontId="3" fillId="0" borderId="75" xfId="1" applyNumberFormat="1" applyFont="1" applyFill="1" applyBorder="1"/>
    <xf numFmtId="0" fontId="12" fillId="0" borderId="40" xfId="0" applyFont="1" applyBorder="1"/>
    <xf numFmtId="0" fontId="3" fillId="7" borderId="2" xfId="0" applyFont="1" applyFill="1" applyBorder="1" applyAlignment="1">
      <alignment horizontal="left" vertical="center"/>
    </xf>
    <xf numFmtId="0" fontId="10" fillId="11" borderId="136" xfId="0" applyFont="1" applyFill="1" applyBorder="1" applyAlignment="1">
      <alignment horizontal="center"/>
    </xf>
    <xf numFmtId="0" fontId="10" fillId="7" borderId="125" xfId="0" applyFont="1" applyFill="1" applyBorder="1" applyAlignment="1">
      <alignment horizontal="center"/>
    </xf>
    <xf numFmtId="0" fontId="10" fillId="9" borderId="83" xfId="0" applyFont="1" applyFill="1" applyBorder="1" applyAlignment="1">
      <alignment horizontal="center"/>
    </xf>
    <xf numFmtId="0" fontId="0" fillId="0" borderId="9" xfId="0" applyBorder="1" applyAlignment="1">
      <alignment horizontal="center"/>
    </xf>
    <xf numFmtId="0" fontId="0" fillId="0" borderId="12" xfId="0" applyBorder="1" applyAlignment="1">
      <alignment horizontal="center"/>
    </xf>
    <xf numFmtId="0" fontId="0" fillId="0" borderId="17" xfId="0" applyBorder="1" applyAlignment="1">
      <alignment horizontal="center"/>
    </xf>
    <xf numFmtId="0" fontId="0" fillId="0" borderId="31" xfId="0" applyBorder="1" applyAlignment="1">
      <alignment horizontal="center"/>
    </xf>
    <xf numFmtId="164" fontId="0" fillId="0" borderId="30" xfId="1" applyNumberFormat="1" applyFont="1" applyFill="1" applyBorder="1" applyAlignment="1">
      <alignment horizontal="center"/>
    </xf>
    <xf numFmtId="164" fontId="0" fillId="0" borderId="11" xfId="1" applyNumberFormat="1" applyFont="1" applyFill="1" applyBorder="1" applyAlignment="1">
      <alignment horizontal="center"/>
    </xf>
    <xf numFmtId="164" fontId="0" fillId="9" borderId="22" xfId="1" applyNumberFormat="1" applyFont="1" applyFill="1" applyBorder="1" applyAlignment="1">
      <alignment horizontal="center" vertical="center"/>
    </xf>
    <xf numFmtId="164" fontId="0" fillId="0" borderId="14" xfId="1" applyNumberFormat="1" applyFont="1" applyFill="1" applyBorder="1" applyAlignment="1">
      <alignment horizontal="center"/>
    </xf>
    <xf numFmtId="164" fontId="0" fillId="0" borderId="19" xfId="1" applyNumberFormat="1" applyFont="1" applyFill="1" applyBorder="1" applyAlignment="1">
      <alignment horizontal="center"/>
    </xf>
    <xf numFmtId="0" fontId="6" fillId="9" borderId="141" xfId="0" applyFont="1" applyFill="1" applyBorder="1" applyAlignment="1">
      <alignment horizontal="center" vertical="center" wrapText="1"/>
    </xf>
    <xf numFmtId="0" fontId="0" fillId="9" borderId="20" xfId="0" applyFill="1" applyBorder="1" applyAlignment="1">
      <alignment horizontal="center" vertical="center"/>
    </xf>
    <xf numFmtId="164" fontId="0" fillId="16" borderId="18" xfId="1" applyNumberFormat="1" applyFont="1" applyFill="1" applyBorder="1" applyAlignment="1">
      <alignment horizontal="center"/>
    </xf>
    <xf numFmtId="164" fontId="0" fillId="16" borderId="10" xfId="1" applyNumberFormat="1" applyFont="1" applyFill="1" applyBorder="1" applyAlignment="1">
      <alignment horizontal="center"/>
    </xf>
    <xf numFmtId="164" fontId="0" fillId="16" borderId="13" xfId="1" applyNumberFormat="1" applyFont="1" applyFill="1" applyBorder="1" applyAlignment="1">
      <alignment horizontal="center"/>
    </xf>
    <xf numFmtId="164" fontId="0" fillId="11" borderId="22" xfId="1" applyNumberFormat="1" applyFont="1" applyFill="1" applyBorder="1" applyAlignment="1">
      <alignment horizontal="center" vertical="center"/>
    </xf>
    <xf numFmtId="164" fontId="24" fillId="11" borderId="38" xfId="1" applyNumberFormat="1" applyFont="1" applyFill="1" applyBorder="1" applyAlignment="1">
      <alignment horizontal="center" vertical="center"/>
    </xf>
    <xf numFmtId="0" fontId="10" fillId="11" borderId="143" xfId="0" applyFont="1" applyFill="1" applyBorder="1" applyAlignment="1">
      <alignment horizontal="center"/>
    </xf>
    <xf numFmtId="0" fontId="29" fillId="0" borderId="144" xfId="0" applyFont="1" applyBorder="1" applyAlignment="1">
      <alignment horizontal="center"/>
    </xf>
    <xf numFmtId="0" fontId="10" fillId="7" borderId="0" xfId="0" applyFont="1" applyFill="1" applyAlignment="1">
      <alignment horizontal="center"/>
    </xf>
    <xf numFmtId="164" fontId="0" fillId="16" borderId="146" xfId="1" applyNumberFormat="1" applyFont="1" applyFill="1" applyBorder="1" applyAlignment="1">
      <alignment horizontal="center"/>
    </xf>
    <xf numFmtId="164" fontId="0" fillId="16" borderId="147" xfId="1" applyNumberFormat="1" applyFont="1" applyFill="1" applyBorder="1" applyAlignment="1">
      <alignment horizontal="center"/>
    </xf>
    <xf numFmtId="164" fontId="0" fillId="16" borderId="148" xfId="1" applyNumberFormat="1" applyFont="1" applyFill="1" applyBorder="1" applyAlignment="1">
      <alignment horizontal="center"/>
    </xf>
    <xf numFmtId="164" fontId="30" fillId="11" borderId="21" xfId="1" applyNumberFormat="1" applyFont="1" applyFill="1" applyBorder="1" applyAlignment="1">
      <alignment horizontal="center" vertical="center"/>
    </xf>
    <xf numFmtId="164" fontId="0" fillId="16" borderId="29" xfId="1" applyNumberFormat="1" applyFont="1" applyFill="1" applyBorder="1" applyAlignment="1">
      <alignment horizontal="center"/>
    </xf>
    <xf numFmtId="164" fontId="0" fillId="15" borderId="21" xfId="1" applyNumberFormat="1" applyFont="1" applyFill="1" applyBorder="1" applyAlignment="1">
      <alignment horizontal="center" vertical="center"/>
    </xf>
    <xf numFmtId="164" fontId="30" fillId="11" borderId="149" xfId="1" applyNumberFormat="1" applyFont="1" applyFill="1" applyBorder="1" applyAlignment="1">
      <alignment horizontal="center" vertical="center"/>
    </xf>
    <xf numFmtId="164" fontId="31" fillId="11" borderId="150" xfId="1" applyNumberFormat="1" applyFont="1" applyFill="1" applyBorder="1" applyAlignment="1">
      <alignment horizontal="center" vertical="center"/>
    </xf>
    <xf numFmtId="0" fontId="2" fillId="15" borderId="80" xfId="0" applyFont="1" applyFill="1" applyBorder="1" applyAlignment="1">
      <alignment horizontal="center" vertical="top" wrapText="1"/>
    </xf>
    <xf numFmtId="0" fontId="2" fillId="7" borderId="80" xfId="0" applyFont="1" applyFill="1" applyBorder="1" applyAlignment="1">
      <alignment horizontal="center" vertical="top" wrapText="1"/>
    </xf>
    <xf numFmtId="0" fontId="10" fillId="13" borderId="80" xfId="0" applyFont="1" applyFill="1" applyBorder="1" applyAlignment="1">
      <alignment horizontal="center"/>
    </xf>
    <xf numFmtId="164" fontId="20" fillId="16" borderId="18" xfId="1" applyNumberFormat="1" applyFont="1" applyFill="1" applyBorder="1"/>
    <xf numFmtId="164" fontId="20" fillId="16" borderId="10" xfId="1" applyNumberFormat="1" applyFont="1" applyFill="1" applyBorder="1"/>
    <xf numFmtId="164" fontId="20" fillId="16" borderId="13" xfId="1" applyNumberFormat="1" applyFont="1" applyFill="1" applyBorder="1"/>
    <xf numFmtId="164" fontId="20" fillId="16" borderId="16" xfId="1" applyNumberFormat="1" applyFont="1" applyFill="1" applyBorder="1"/>
    <xf numFmtId="0" fontId="0" fillId="10" borderId="153" xfId="1" applyNumberFormat="1" applyFont="1" applyFill="1" applyBorder="1" applyAlignment="1">
      <alignment vertical="center"/>
    </xf>
    <xf numFmtId="0" fontId="24" fillId="10" borderId="154" xfId="1" applyNumberFormat="1" applyFont="1" applyFill="1" applyBorder="1" applyAlignment="1">
      <alignment vertical="center"/>
    </xf>
    <xf numFmtId="0" fontId="10" fillId="10" borderId="155" xfId="0" applyFont="1" applyFill="1" applyBorder="1" applyAlignment="1">
      <alignment horizontal="left"/>
    </xf>
    <xf numFmtId="0" fontId="0" fillId="17" borderId="0" xfId="0" applyFill="1"/>
    <xf numFmtId="164" fontId="27" fillId="16" borderId="42" xfId="1" applyNumberFormat="1" applyFont="1" applyFill="1" applyBorder="1"/>
    <xf numFmtId="164" fontId="9" fillId="16" borderId="40" xfId="1" applyNumberFormat="1" applyFont="1" applyFill="1" applyBorder="1"/>
    <xf numFmtId="164" fontId="3" fillId="16" borderId="44" xfId="1" applyNumberFormat="1" applyFont="1" applyFill="1" applyBorder="1"/>
    <xf numFmtId="164" fontId="27" fillId="16" borderId="158" xfId="1" applyNumberFormat="1" applyFont="1" applyFill="1" applyBorder="1" applyAlignment="1"/>
    <xf numFmtId="164" fontId="9" fillId="16" borderId="114" xfId="1" applyNumberFormat="1" applyFont="1" applyFill="1" applyBorder="1" applyAlignment="1"/>
    <xf numFmtId="164" fontId="3" fillId="16" borderId="115" xfId="1" applyNumberFormat="1" applyFont="1" applyFill="1" applyBorder="1"/>
    <xf numFmtId="164" fontId="27" fillId="16" borderId="113" xfId="1" applyNumberFormat="1" applyFont="1" applyFill="1" applyBorder="1"/>
    <xf numFmtId="164" fontId="9" fillId="16" borderId="114" xfId="1" applyNumberFormat="1" applyFont="1" applyFill="1" applyBorder="1"/>
    <xf numFmtId="164" fontId="27" fillId="0" borderId="160" xfId="1" applyNumberFormat="1" applyFont="1" applyFill="1" applyBorder="1"/>
    <xf numFmtId="164" fontId="9" fillId="0" borderId="161" xfId="1" applyNumberFormat="1" applyFont="1" applyFill="1" applyBorder="1"/>
    <xf numFmtId="164" fontId="3" fillId="0" borderId="162" xfId="1" applyNumberFormat="1" applyFont="1" applyFill="1" applyBorder="1"/>
    <xf numFmtId="0" fontId="33" fillId="10" borderId="156" xfId="0" applyFont="1" applyFill="1" applyBorder="1" applyAlignment="1">
      <alignment horizontal="center" vertical="center" wrapText="1"/>
    </xf>
    <xf numFmtId="0" fontId="33" fillId="7" borderId="0" xfId="0" applyFont="1" applyFill="1" applyAlignment="1">
      <alignment horizontal="center" vertical="center" wrapText="1"/>
    </xf>
    <xf numFmtId="0" fontId="33" fillId="7" borderId="132" xfId="0" applyFont="1" applyFill="1" applyBorder="1" applyAlignment="1">
      <alignment horizontal="center" vertical="center" wrapText="1"/>
    </xf>
    <xf numFmtId="0" fontId="33" fillId="7" borderId="134" xfId="0" applyFont="1" applyFill="1" applyBorder="1" applyAlignment="1">
      <alignment horizontal="center" vertical="center" wrapText="1"/>
    </xf>
    <xf numFmtId="0" fontId="33" fillId="11" borderId="145" xfId="0" applyFont="1" applyFill="1" applyBorder="1" applyAlignment="1">
      <alignment horizontal="center" vertical="center" wrapText="1"/>
    </xf>
    <xf numFmtId="0" fontId="33" fillId="11" borderId="129" xfId="0" applyFont="1" applyFill="1" applyBorder="1" applyAlignment="1">
      <alignment horizontal="center" vertical="center" wrapText="1"/>
    </xf>
    <xf numFmtId="0" fontId="33" fillId="15" borderId="151" xfId="0" applyFont="1" applyFill="1" applyBorder="1" applyAlignment="1">
      <alignment horizontal="center" vertical="center" wrapText="1"/>
    </xf>
    <xf numFmtId="0" fontId="28" fillId="0" borderId="0" xfId="0" applyFont="1" applyAlignment="1">
      <alignment horizontal="right" vertical="center"/>
    </xf>
    <xf numFmtId="0" fontId="33" fillId="15" borderId="163" xfId="0" applyFont="1" applyFill="1" applyBorder="1" applyAlignment="1">
      <alignment horizontal="center" vertical="center" wrapText="1"/>
    </xf>
    <xf numFmtId="164" fontId="0" fillId="16" borderId="164" xfId="1" applyNumberFormat="1" applyFont="1" applyFill="1" applyBorder="1" applyAlignment="1">
      <alignment horizontal="center"/>
    </xf>
    <xf numFmtId="164" fontId="0" fillId="16" borderId="165" xfId="1" applyNumberFormat="1" applyFont="1" applyFill="1" applyBorder="1" applyAlignment="1">
      <alignment horizontal="center"/>
    </xf>
    <xf numFmtId="164" fontId="0" fillId="16" borderId="166" xfId="1" applyNumberFormat="1" applyFont="1" applyFill="1" applyBorder="1" applyAlignment="1">
      <alignment horizontal="center"/>
    </xf>
    <xf numFmtId="164" fontId="0" fillId="15" borderId="167" xfId="1" applyNumberFormat="1" applyFont="1" applyFill="1" applyBorder="1" applyAlignment="1">
      <alignment horizontal="center" vertical="center"/>
    </xf>
    <xf numFmtId="164" fontId="0" fillId="16" borderId="168" xfId="1" applyNumberFormat="1" applyFont="1" applyFill="1" applyBorder="1" applyAlignment="1">
      <alignment horizontal="center"/>
    </xf>
    <xf numFmtId="164" fontId="20" fillId="0" borderId="19" xfId="1" applyNumberFormat="1" applyFont="1" applyFill="1" applyBorder="1"/>
    <xf numFmtId="164" fontId="20" fillId="0" borderId="11" xfId="1" applyNumberFormat="1" applyFont="1" applyFill="1" applyBorder="1"/>
    <xf numFmtId="164" fontId="20" fillId="12" borderId="22" xfId="1" applyNumberFormat="1" applyFont="1" applyFill="1" applyBorder="1" applyAlignment="1">
      <alignment vertical="center"/>
    </xf>
    <xf numFmtId="164" fontId="20" fillId="0" borderId="14" xfId="1" applyNumberFormat="1" applyFont="1" applyFill="1" applyBorder="1"/>
    <xf numFmtId="164" fontId="20" fillId="0" borderId="81" xfId="1" applyNumberFormat="1" applyFont="1" applyFill="1" applyBorder="1"/>
    <xf numFmtId="164" fontId="0" fillId="12" borderId="170" xfId="1" applyNumberFormat="1" applyFont="1" applyFill="1" applyBorder="1" applyAlignment="1">
      <alignment vertical="center"/>
    </xf>
    <xf numFmtId="164" fontId="24" fillId="12" borderId="171" xfId="1" applyNumberFormat="1" applyFont="1" applyFill="1" applyBorder="1" applyAlignment="1">
      <alignment vertical="center"/>
    </xf>
    <xf numFmtId="164" fontId="20" fillId="16" borderId="88" xfId="1" applyNumberFormat="1" applyFont="1" applyFill="1" applyBorder="1"/>
    <xf numFmtId="164" fontId="20" fillId="16" borderId="85" xfId="1" applyNumberFormat="1" applyFont="1" applyFill="1" applyBorder="1"/>
    <xf numFmtId="164" fontId="20" fillId="16" borderId="86" xfId="1" applyNumberFormat="1" applyFont="1" applyFill="1" applyBorder="1"/>
    <xf numFmtId="164" fontId="20" fillId="16" borderId="89" xfId="1" applyNumberFormat="1" applyFont="1" applyFill="1" applyBorder="1"/>
    <xf numFmtId="164" fontId="0" fillId="12" borderId="87" xfId="1" applyNumberFormat="1" applyFont="1" applyFill="1" applyBorder="1" applyAlignment="1">
      <alignment vertical="center"/>
    </xf>
    <xf numFmtId="164" fontId="24" fillId="12" borderId="169" xfId="1" applyNumberFormat="1" applyFont="1" applyFill="1" applyBorder="1" applyAlignment="1">
      <alignment vertical="center"/>
    </xf>
    <xf numFmtId="0" fontId="33" fillId="8" borderId="174" xfId="0" applyFont="1" applyFill="1" applyBorder="1" applyAlignment="1">
      <alignment horizontal="center" vertical="center" wrapText="1"/>
    </xf>
    <xf numFmtId="164" fontId="20" fillId="8" borderId="178" xfId="1" applyNumberFormat="1" applyFont="1" applyFill="1" applyBorder="1" applyAlignment="1">
      <alignment vertical="center"/>
    </xf>
    <xf numFmtId="164" fontId="0" fillId="8" borderId="178" xfId="1" applyNumberFormat="1" applyFont="1" applyFill="1" applyBorder="1" applyAlignment="1">
      <alignment vertical="center"/>
    </xf>
    <xf numFmtId="164" fontId="24" fillId="8" borderId="181" xfId="1" applyNumberFormat="1" applyFont="1" applyFill="1" applyBorder="1" applyAlignment="1">
      <alignment vertical="center"/>
    </xf>
    <xf numFmtId="164" fontId="20" fillId="10" borderId="22" xfId="1" applyNumberFormat="1" applyFont="1" applyFill="1" applyBorder="1" applyAlignment="1">
      <alignment vertical="center"/>
    </xf>
    <xf numFmtId="164" fontId="0" fillId="10" borderId="182" xfId="1" applyNumberFormat="1" applyFont="1" applyFill="1" applyBorder="1" applyAlignment="1">
      <alignment vertical="center"/>
    </xf>
    <xf numFmtId="164" fontId="24" fillId="10" borderId="183" xfId="1" applyNumberFormat="1" applyFont="1" applyFill="1" applyBorder="1" applyAlignment="1">
      <alignment vertical="center"/>
    </xf>
    <xf numFmtId="164" fontId="20" fillId="10" borderId="186" xfId="1" applyNumberFormat="1" applyFont="1" applyFill="1" applyBorder="1" applyAlignment="1">
      <alignment vertical="center"/>
    </xf>
    <xf numFmtId="164" fontId="0" fillId="10" borderId="186" xfId="1" applyNumberFormat="1" applyFont="1" applyFill="1" applyBorder="1" applyAlignment="1">
      <alignment vertical="center"/>
    </xf>
    <xf numFmtId="164" fontId="24" fillId="10" borderId="189" xfId="1" applyNumberFormat="1" applyFont="1" applyFill="1" applyBorder="1" applyAlignment="1">
      <alignment vertical="center"/>
    </xf>
    <xf numFmtId="164" fontId="0" fillId="13" borderId="22" xfId="1" applyNumberFormat="1" applyFont="1" applyFill="1" applyBorder="1" applyAlignment="1">
      <alignment vertical="center"/>
    </xf>
    <xf numFmtId="164" fontId="20" fillId="13" borderId="22" xfId="1" applyNumberFormat="1" applyFont="1" applyFill="1" applyBorder="1" applyAlignment="1">
      <alignment vertical="center"/>
    </xf>
    <xf numFmtId="164" fontId="0" fillId="13" borderId="170" xfId="1" applyNumberFormat="1" applyFont="1" applyFill="1" applyBorder="1" applyAlignment="1">
      <alignment vertical="center"/>
    </xf>
    <xf numFmtId="164" fontId="24" fillId="13" borderId="171" xfId="1" applyNumberFormat="1" applyFont="1" applyFill="1" applyBorder="1" applyAlignment="1">
      <alignment vertical="center"/>
    </xf>
    <xf numFmtId="0" fontId="33" fillId="13" borderId="190" xfId="0" applyFont="1" applyFill="1" applyBorder="1" applyAlignment="1">
      <alignment horizontal="center" vertical="center" wrapText="1"/>
    </xf>
    <xf numFmtId="164" fontId="20" fillId="10" borderId="199" xfId="1" applyNumberFormat="1" applyFont="1" applyFill="1" applyBorder="1" applyAlignment="1">
      <alignment vertical="center"/>
    </xf>
    <xf numFmtId="0" fontId="20" fillId="0" borderId="202" xfId="1" applyNumberFormat="1" applyFont="1" applyBorder="1"/>
    <xf numFmtId="0" fontId="20" fillId="0" borderId="203" xfId="1" applyNumberFormat="1" applyFont="1" applyBorder="1"/>
    <xf numFmtId="0" fontId="0" fillId="0" borderId="204" xfId="1" applyNumberFormat="1" applyFont="1" applyBorder="1"/>
    <xf numFmtId="0" fontId="20" fillId="10" borderId="205" xfId="1" applyNumberFormat="1" applyFont="1" applyFill="1" applyBorder="1" applyAlignment="1">
      <alignment vertical="center"/>
    </xf>
    <xf numFmtId="0" fontId="0" fillId="0" borderId="206" xfId="1" applyNumberFormat="1" applyFont="1" applyBorder="1"/>
    <xf numFmtId="0" fontId="20" fillId="0" borderId="204" xfId="1" applyNumberFormat="1" applyFont="1" applyBorder="1"/>
    <xf numFmtId="0" fontId="20" fillId="0" borderId="206" xfId="1" applyNumberFormat="1" applyFont="1" applyBorder="1"/>
    <xf numFmtId="0" fontId="20" fillId="0" borderId="207" xfId="1" applyNumberFormat="1" applyFont="1" applyBorder="1"/>
    <xf numFmtId="0" fontId="0" fillId="10" borderId="205" xfId="1" applyNumberFormat="1" applyFont="1" applyFill="1" applyBorder="1" applyAlignment="1">
      <alignment vertical="center"/>
    </xf>
    <xf numFmtId="0" fontId="24" fillId="10" borderId="208" xfId="1" applyNumberFormat="1" applyFont="1" applyFill="1" applyBorder="1" applyAlignment="1">
      <alignment vertical="center"/>
    </xf>
    <xf numFmtId="0" fontId="6" fillId="10" borderId="209" xfId="0" applyFont="1" applyFill="1" applyBorder="1" applyAlignment="1">
      <alignment horizontal="center" vertical="center" wrapText="1"/>
    </xf>
    <xf numFmtId="0" fontId="10" fillId="10" borderId="210" xfId="0" applyFont="1" applyFill="1" applyBorder="1" applyAlignment="1">
      <alignment horizontal="left"/>
    </xf>
    <xf numFmtId="164" fontId="20" fillId="18" borderId="30" xfId="1" applyNumberFormat="1" applyFont="1" applyFill="1" applyBorder="1"/>
    <xf numFmtId="164" fontId="20" fillId="18" borderId="11" xfId="1" applyNumberFormat="1" applyFont="1" applyFill="1" applyBorder="1"/>
    <xf numFmtId="164" fontId="20" fillId="18" borderId="14" xfId="1" applyNumberFormat="1" applyFont="1" applyFill="1" applyBorder="1"/>
    <xf numFmtId="164" fontId="20" fillId="18" borderId="22" xfId="1" applyNumberFormat="1" applyFont="1" applyFill="1" applyBorder="1" applyAlignment="1">
      <alignment vertical="center"/>
    </xf>
    <xf numFmtId="164" fontId="20" fillId="18" borderId="19" xfId="1" applyNumberFormat="1" applyFont="1" applyFill="1" applyBorder="1"/>
    <xf numFmtId="164" fontId="20" fillId="18" borderId="81" xfId="1" applyNumberFormat="1" applyFont="1" applyFill="1" applyBorder="1"/>
    <xf numFmtId="164" fontId="20" fillId="18" borderId="175" xfId="1" applyNumberFormat="1" applyFont="1" applyFill="1" applyBorder="1"/>
    <xf numFmtId="164" fontId="20" fillId="18" borderId="176" xfId="1" applyNumberFormat="1" applyFont="1" applyFill="1" applyBorder="1"/>
    <xf numFmtId="164" fontId="20" fillId="18" borderId="177" xfId="1" applyNumberFormat="1" applyFont="1" applyFill="1" applyBorder="1"/>
    <xf numFmtId="164" fontId="20" fillId="18" borderId="179" xfId="1" applyNumberFormat="1" applyFont="1" applyFill="1" applyBorder="1"/>
    <xf numFmtId="164" fontId="20" fillId="18" borderId="180" xfId="1" applyNumberFormat="1" applyFont="1" applyFill="1" applyBorder="1"/>
    <xf numFmtId="164" fontId="20" fillId="18" borderId="157" xfId="1" applyNumberFormat="1" applyFont="1" applyFill="1" applyBorder="1"/>
    <xf numFmtId="164" fontId="20" fillId="18" borderId="197" xfId="1" applyNumberFormat="1" applyFont="1" applyFill="1" applyBorder="1"/>
    <xf numFmtId="164" fontId="20" fillId="18" borderId="198" xfId="1" applyNumberFormat="1" applyFont="1" applyFill="1" applyBorder="1"/>
    <xf numFmtId="164" fontId="20" fillId="18" borderId="200" xfId="1" applyNumberFormat="1" applyFont="1" applyFill="1" applyBorder="1"/>
    <xf numFmtId="164" fontId="20" fillId="18" borderId="201" xfId="1" applyNumberFormat="1" applyFont="1" applyFill="1" applyBorder="1"/>
    <xf numFmtId="164" fontId="20" fillId="18" borderId="187" xfId="1" applyNumberFormat="1" applyFont="1" applyFill="1" applyBorder="1"/>
    <xf numFmtId="164" fontId="20" fillId="18" borderId="185" xfId="1" applyNumberFormat="1" applyFont="1" applyFill="1" applyBorder="1"/>
    <xf numFmtId="164" fontId="20" fillId="18" borderId="184" xfId="1" applyNumberFormat="1" applyFont="1" applyFill="1" applyBorder="1"/>
    <xf numFmtId="164" fontId="20" fillId="18" borderId="188" xfId="1" applyNumberFormat="1" applyFont="1" applyFill="1" applyBorder="1"/>
    <xf numFmtId="164" fontId="0" fillId="13" borderId="194" xfId="1" applyNumberFormat="1" applyFont="1" applyFill="1" applyBorder="1" applyAlignment="1">
      <alignment vertical="center"/>
    </xf>
    <xf numFmtId="164" fontId="24" fillId="13" borderId="196" xfId="1" applyNumberFormat="1" applyFont="1" applyFill="1" applyBorder="1" applyAlignment="1">
      <alignment vertical="center"/>
    </xf>
    <xf numFmtId="164" fontId="0" fillId="18" borderId="191" xfId="1" applyNumberFormat="1" applyFont="1" applyFill="1" applyBorder="1"/>
    <xf numFmtId="164" fontId="0" fillId="18" borderId="192" xfId="1" applyNumberFormat="1" applyFont="1" applyFill="1" applyBorder="1"/>
    <xf numFmtId="164" fontId="0" fillId="18" borderId="193" xfId="1" applyNumberFormat="1" applyFont="1" applyFill="1" applyBorder="1"/>
    <xf numFmtId="164" fontId="0" fillId="18" borderId="195" xfId="1" applyNumberFormat="1" applyFont="1" applyFill="1" applyBorder="1"/>
    <xf numFmtId="0" fontId="29" fillId="0" borderId="79" xfId="0" applyFont="1" applyBorder="1" applyAlignment="1">
      <alignment horizontal="center"/>
    </xf>
    <xf numFmtId="0" fontId="10" fillId="8" borderId="211" xfId="0" applyFont="1" applyFill="1" applyBorder="1" applyAlignment="1">
      <alignment horizontal="center"/>
    </xf>
    <xf numFmtId="0" fontId="10" fillId="10" borderId="212" xfId="0" applyFont="1" applyFill="1" applyBorder="1" applyAlignment="1">
      <alignment horizontal="center"/>
    </xf>
    <xf numFmtId="0" fontId="10" fillId="10" borderId="213" xfId="0" applyFont="1" applyFill="1" applyBorder="1" applyAlignment="1">
      <alignment horizontal="center"/>
    </xf>
    <xf numFmtId="0" fontId="10" fillId="7" borderId="214" xfId="0" applyFont="1" applyFill="1" applyBorder="1" applyAlignment="1">
      <alignment horizontal="center"/>
    </xf>
    <xf numFmtId="0" fontId="0" fillId="11" borderId="103" xfId="0" applyFill="1" applyBorder="1" applyAlignment="1">
      <alignment horizontal="center" vertical="center"/>
    </xf>
    <xf numFmtId="0" fontId="24" fillId="11" borderId="215" xfId="0" applyFont="1" applyFill="1" applyBorder="1" applyAlignment="1">
      <alignment horizontal="center" vertical="center"/>
    </xf>
    <xf numFmtId="0" fontId="33" fillId="8" borderId="105" xfId="0" applyFont="1" applyFill="1" applyBorder="1" applyAlignment="1">
      <alignment horizontal="center" vertical="center" wrapText="1"/>
    </xf>
    <xf numFmtId="0" fontId="0" fillId="0" borderId="0" xfId="0" applyAlignment="1">
      <alignment wrapText="1"/>
    </xf>
    <xf numFmtId="164" fontId="0" fillId="0" borderId="0" xfId="1" applyNumberFormat="1" applyFont="1" applyBorder="1"/>
    <xf numFmtId="0" fontId="12" fillId="0" borderId="159" xfId="0" applyFont="1" applyBorder="1"/>
    <xf numFmtId="0" fontId="13" fillId="0" borderId="46" xfId="0" applyFont="1" applyBorder="1"/>
    <xf numFmtId="0" fontId="0" fillId="0" borderId="217" xfId="0" applyBorder="1"/>
    <xf numFmtId="0" fontId="0" fillId="0" borderId="218" xfId="0" applyBorder="1"/>
    <xf numFmtId="0" fontId="26" fillId="0" borderId="219" xfId="0" applyFont="1" applyBorder="1"/>
    <xf numFmtId="0" fontId="12" fillId="0" borderId="220" xfId="0" applyFont="1" applyBorder="1"/>
    <xf numFmtId="0" fontId="13" fillId="0" borderId="221" xfId="0" applyFont="1" applyBorder="1"/>
    <xf numFmtId="0" fontId="26" fillId="0" borderId="222" xfId="0" applyFont="1" applyBorder="1"/>
    <xf numFmtId="0" fontId="2" fillId="14" borderId="80" xfId="0" applyFont="1" applyFill="1" applyBorder="1"/>
    <xf numFmtId="0" fontId="2" fillId="0" borderId="5" xfId="0" applyFont="1" applyBorder="1"/>
    <xf numFmtId="0" fontId="2" fillId="14" borderId="224" xfId="0" applyFont="1" applyFill="1" applyBorder="1"/>
    <xf numFmtId="164" fontId="27" fillId="16" borderId="225" xfId="1" applyNumberFormat="1" applyFont="1" applyFill="1" applyBorder="1"/>
    <xf numFmtId="164" fontId="9" fillId="16" borderId="226" xfId="1" applyNumberFormat="1" applyFont="1" applyFill="1" applyBorder="1"/>
    <xf numFmtId="164" fontId="27" fillId="16" borderId="227" xfId="1" applyNumberFormat="1" applyFont="1" applyFill="1" applyBorder="1"/>
    <xf numFmtId="0" fontId="3" fillId="7" borderId="2" xfId="0" applyFont="1" applyFill="1" applyBorder="1" applyAlignment="1">
      <alignment horizontal="right" vertical="center"/>
    </xf>
    <xf numFmtId="0" fontId="0" fillId="7" borderId="2" xfId="0" applyFill="1" applyBorder="1" applyAlignment="1">
      <alignment horizontal="right" vertical="top"/>
    </xf>
    <xf numFmtId="0" fontId="0" fillId="19" borderId="21" xfId="0" applyFill="1" applyBorder="1" applyAlignment="1">
      <alignment vertical="center"/>
    </xf>
    <xf numFmtId="0" fontId="0" fillId="19" borderId="0" xfId="0" applyFill="1"/>
    <xf numFmtId="0" fontId="0" fillId="6" borderId="13" xfId="0" applyFill="1" applyBorder="1" applyAlignment="1">
      <alignment horizontal="left"/>
    </xf>
    <xf numFmtId="9" fontId="0" fillId="0" borderId="0" xfId="1" applyFont="1"/>
    <xf numFmtId="0" fontId="6" fillId="9" borderId="107" xfId="0" applyFont="1" applyFill="1" applyBorder="1" applyAlignment="1">
      <alignment horizontal="center" vertical="center" wrapText="1"/>
    </xf>
    <xf numFmtId="0" fontId="0" fillId="0" borderId="0" xfId="0" pivotButton="1"/>
    <xf numFmtId="0" fontId="0" fillId="0" borderId="0" xfId="0" applyAlignment="1">
      <alignment horizontal="left"/>
    </xf>
    <xf numFmtId="14" fontId="34" fillId="2" borderId="0" xfId="0" applyNumberFormat="1" applyFont="1" applyFill="1"/>
    <xf numFmtId="14" fontId="0" fillId="0" borderId="0" xfId="0" applyNumberFormat="1" applyAlignment="1">
      <alignment horizontal="left"/>
    </xf>
    <xf numFmtId="22" fontId="0" fillId="0" borderId="0" xfId="0" applyNumberFormat="1"/>
    <xf numFmtId="0" fontId="0" fillId="2" borderId="0" xfId="0" applyFill="1"/>
    <xf numFmtId="0" fontId="33" fillId="14" borderId="223" xfId="0" applyFont="1" applyFill="1" applyBorder="1" applyAlignment="1">
      <alignment horizontal="center" vertical="center" wrapText="1"/>
    </xf>
    <xf numFmtId="0" fontId="33" fillId="7" borderId="65" xfId="0" applyFont="1" applyFill="1" applyBorder="1" applyAlignment="1">
      <alignment horizontal="center" vertical="center" wrapText="1"/>
    </xf>
    <xf numFmtId="0" fontId="33" fillId="7" borderId="67" xfId="0" applyFont="1" applyFill="1" applyBorder="1" applyAlignment="1">
      <alignment horizontal="center" vertical="center" wrapText="1"/>
    </xf>
    <xf numFmtId="0" fontId="32" fillId="15" borderId="65" xfId="0" applyFont="1" applyFill="1" applyBorder="1" applyAlignment="1">
      <alignment horizontal="center" vertical="center" wrapText="1"/>
    </xf>
    <xf numFmtId="0" fontId="32" fillId="15" borderId="67" xfId="0" applyFont="1" applyFill="1" applyBorder="1" applyAlignment="1">
      <alignment horizontal="center" vertical="center" wrapText="1"/>
    </xf>
    <xf numFmtId="0" fontId="2" fillId="15" borderId="80" xfId="0" applyFont="1" applyFill="1" applyBorder="1" applyAlignment="1">
      <alignment horizontal="center" vertical="top" wrapText="1"/>
    </xf>
    <xf numFmtId="0" fontId="6" fillId="14" borderId="116" xfId="0" applyFont="1" applyFill="1" applyBorder="1" applyAlignment="1">
      <alignment horizontal="center" vertical="center" wrapText="1"/>
    </xf>
    <xf numFmtId="0" fontId="6" fillId="14" borderId="61" xfId="0" applyFont="1" applyFill="1" applyBorder="1" applyAlignment="1">
      <alignment horizontal="center" vertical="center" wrapText="1"/>
    </xf>
    <xf numFmtId="0" fontId="6" fillId="14" borderId="118" xfId="0" applyFont="1" applyFill="1" applyBorder="1" applyAlignment="1">
      <alignment horizontal="center" vertical="center" wrapText="1"/>
    </xf>
    <xf numFmtId="0" fontId="6" fillId="14" borderId="41" xfId="0" applyFont="1" applyFill="1" applyBorder="1" applyAlignment="1">
      <alignment horizontal="center" vertical="center" wrapText="1"/>
    </xf>
    <xf numFmtId="0" fontId="6" fillId="14" borderId="65" xfId="0" applyFont="1" applyFill="1" applyBorder="1" applyAlignment="1">
      <alignment horizontal="center" vertical="center" wrapText="1"/>
    </xf>
    <xf numFmtId="0" fontId="6" fillId="14" borderId="67" xfId="0" applyFont="1" applyFill="1" applyBorder="1" applyAlignment="1">
      <alignment horizontal="center" vertical="center" wrapText="1"/>
    </xf>
    <xf numFmtId="0" fontId="6" fillId="15" borderId="65" xfId="0" applyFont="1" applyFill="1" applyBorder="1" applyAlignment="1">
      <alignment horizontal="center" vertical="center" wrapText="1"/>
    </xf>
    <xf numFmtId="0" fontId="6" fillId="15" borderId="67" xfId="0" applyFont="1" applyFill="1" applyBorder="1" applyAlignment="1">
      <alignment horizontal="center" vertical="center" wrapText="1"/>
    </xf>
    <xf numFmtId="0" fontId="6" fillId="7" borderId="65" xfId="0" applyFont="1" applyFill="1" applyBorder="1" applyAlignment="1">
      <alignment vertical="center" wrapText="1"/>
    </xf>
    <xf numFmtId="0" fontId="6" fillId="7" borderId="67" xfId="0" applyFont="1" applyFill="1" applyBorder="1" applyAlignment="1">
      <alignment vertical="center" wrapText="1"/>
    </xf>
    <xf numFmtId="0" fontId="2" fillId="7" borderId="80" xfId="0" applyFont="1" applyFill="1" applyBorder="1" applyAlignment="1">
      <alignment horizontal="center" vertical="top" wrapText="1"/>
    </xf>
    <xf numFmtId="0" fontId="3" fillId="0" borderId="45" xfId="0" applyFont="1" applyBorder="1" applyAlignment="1">
      <alignment horizontal="right"/>
    </xf>
    <xf numFmtId="0" fontId="3" fillId="0" borderId="48" xfId="0" applyFont="1" applyBorder="1" applyAlignment="1">
      <alignment horizontal="right"/>
    </xf>
    <xf numFmtId="0" fontId="6" fillId="15" borderId="116" xfId="0" applyFont="1" applyFill="1" applyBorder="1" applyAlignment="1">
      <alignment horizontal="center" vertical="center" wrapText="1"/>
    </xf>
    <xf numFmtId="0" fontId="6" fillId="15" borderId="117" xfId="0" applyFont="1" applyFill="1" applyBorder="1" applyAlignment="1">
      <alignment horizontal="center" vertical="center" wrapText="1"/>
    </xf>
    <xf numFmtId="0" fontId="6" fillId="15" borderId="118" xfId="0" applyFont="1" applyFill="1" applyBorder="1" applyAlignment="1">
      <alignment horizontal="center" vertical="center" wrapText="1"/>
    </xf>
    <xf numFmtId="0" fontId="6" fillId="15" borderId="119" xfId="0" applyFont="1" applyFill="1" applyBorder="1" applyAlignment="1">
      <alignment horizontal="center" vertical="center" wrapText="1"/>
    </xf>
    <xf numFmtId="0" fontId="6" fillId="7" borderId="65" xfId="0" applyFont="1" applyFill="1" applyBorder="1" applyAlignment="1">
      <alignment horizontal="center" vertical="center" wrapText="1"/>
    </xf>
    <xf numFmtId="0" fontId="6" fillId="7" borderId="67" xfId="0" applyFont="1" applyFill="1" applyBorder="1" applyAlignment="1">
      <alignment horizontal="center" vertical="center" wrapText="1"/>
    </xf>
    <xf numFmtId="0" fontId="6" fillId="0" borderId="61" xfId="0" applyFont="1" applyBorder="1" applyAlignment="1">
      <alignment horizontal="right" vertical="center" wrapText="1"/>
    </xf>
    <xf numFmtId="0" fontId="6" fillId="0" borderId="62" xfId="0" applyFont="1" applyBorder="1" applyAlignment="1">
      <alignment horizontal="right" vertical="center" wrapText="1"/>
    </xf>
    <xf numFmtId="0" fontId="6" fillId="0" borderId="41" xfId="0" applyFont="1" applyBorder="1" applyAlignment="1">
      <alignment horizontal="right" vertical="center" wrapText="1"/>
    </xf>
    <xf numFmtId="0" fontId="6" fillId="0" borderId="63" xfId="0" applyFont="1" applyBorder="1" applyAlignment="1">
      <alignment horizontal="right" vertical="center" wrapText="1"/>
    </xf>
    <xf numFmtId="0" fontId="6" fillId="15" borderId="64" xfId="0" applyFont="1" applyFill="1" applyBorder="1" applyAlignment="1">
      <alignment vertical="center" wrapText="1"/>
    </xf>
    <xf numFmtId="0" fontId="6" fillId="15" borderId="65" xfId="0" applyFont="1" applyFill="1" applyBorder="1" applyAlignment="1">
      <alignment vertical="center" wrapText="1"/>
    </xf>
    <xf numFmtId="0" fontId="6" fillId="15" borderId="66" xfId="0" applyFont="1" applyFill="1" applyBorder="1" applyAlignment="1">
      <alignment vertical="center" wrapText="1"/>
    </xf>
    <xf numFmtId="0" fontId="6" fillId="15" borderId="67" xfId="0" applyFont="1" applyFill="1" applyBorder="1" applyAlignment="1">
      <alignment vertical="center" wrapText="1"/>
    </xf>
    <xf numFmtId="0" fontId="33" fillId="15" borderId="65" xfId="0" applyFont="1" applyFill="1" applyBorder="1" applyAlignment="1">
      <alignment horizontal="center" vertical="center" wrapText="1"/>
    </xf>
    <xf numFmtId="0" fontId="33" fillId="15" borderId="67" xfId="0" applyFont="1" applyFill="1" applyBorder="1" applyAlignment="1">
      <alignment horizontal="center" vertical="center" wrapText="1"/>
    </xf>
    <xf numFmtId="0" fontId="0" fillId="0" borderId="41" xfId="0" applyBorder="1" applyAlignment="1">
      <alignment horizontal="center"/>
    </xf>
    <xf numFmtId="0" fontId="0" fillId="0" borderId="17" xfId="0" applyBorder="1" applyAlignment="1">
      <alignment horizontal="center"/>
    </xf>
    <xf numFmtId="0" fontId="0" fillId="0" borderId="77" xfId="0" applyBorder="1" applyAlignment="1">
      <alignment horizontal="center"/>
    </xf>
    <xf numFmtId="0" fontId="0" fillId="0" borderId="9" xfId="0" applyBorder="1" applyAlignment="1">
      <alignment horizontal="center"/>
    </xf>
    <xf numFmtId="0" fontId="0" fillId="0" borderId="78" xfId="0" applyBorder="1" applyAlignment="1">
      <alignment horizontal="center"/>
    </xf>
    <xf numFmtId="0" fontId="0" fillId="0" borderId="12" xfId="0" applyBorder="1" applyAlignment="1">
      <alignment horizontal="center"/>
    </xf>
    <xf numFmtId="0" fontId="0" fillId="13" borderId="111" xfId="0" applyFill="1" applyBorder="1" applyAlignment="1">
      <alignment horizontal="center" vertical="center"/>
    </xf>
    <xf numFmtId="0" fontId="0" fillId="13" borderId="109" xfId="0" applyFill="1" applyBorder="1" applyAlignment="1">
      <alignment horizontal="center" vertical="center"/>
    </xf>
    <xf numFmtId="0" fontId="24" fillId="13" borderId="122" xfId="0" applyFont="1" applyFill="1" applyBorder="1" applyAlignment="1">
      <alignment horizontal="center" vertical="center"/>
    </xf>
    <xf numFmtId="0" fontId="24" fillId="13" borderId="110" xfId="0" applyFont="1" applyFill="1" applyBorder="1" applyAlignment="1">
      <alignment horizontal="center" vertical="center"/>
    </xf>
    <xf numFmtId="0" fontId="0" fillId="13" borderId="79" xfId="0" applyFill="1" applyBorder="1" applyAlignment="1">
      <alignment horizontal="center" vertical="center"/>
    </xf>
    <xf numFmtId="0" fontId="0" fillId="13" borderId="20" xfId="0" applyFill="1" applyBorder="1" applyAlignment="1">
      <alignment horizontal="center" vertical="center"/>
    </xf>
    <xf numFmtId="0" fontId="0" fillId="0" borderId="98" xfId="0" applyBorder="1" applyAlignment="1">
      <alignment horizontal="center"/>
    </xf>
    <xf numFmtId="0" fontId="0" fillId="0" borderId="39" xfId="0" applyBorder="1" applyAlignment="1">
      <alignment horizontal="center"/>
    </xf>
    <xf numFmtId="0" fontId="0" fillId="12" borderId="79" xfId="0" applyFill="1" applyBorder="1" applyAlignment="1">
      <alignment horizontal="center" vertical="center"/>
    </xf>
    <xf numFmtId="0" fontId="0" fillId="12" borderId="20" xfId="0" applyFill="1" applyBorder="1" applyAlignment="1">
      <alignment horizontal="center" vertical="center"/>
    </xf>
    <xf numFmtId="0" fontId="0" fillId="4" borderId="22" xfId="0" applyFill="1" applyBorder="1" applyAlignment="1">
      <alignment horizontal="center" vertical="center"/>
    </xf>
    <xf numFmtId="0" fontId="0" fillId="4" borderId="79" xfId="0" applyFill="1" applyBorder="1" applyAlignment="1">
      <alignment horizontal="center" vertical="center"/>
    </xf>
    <xf numFmtId="0" fontId="0" fillId="0" borderId="19" xfId="0" applyBorder="1" applyAlignment="1">
      <alignment horizontal="center"/>
    </xf>
    <xf numFmtId="0" fontId="0" fillId="0" borderId="11" xfId="0" applyBorder="1" applyAlignment="1">
      <alignment horizontal="center"/>
    </xf>
    <xf numFmtId="0" fontId="0" fillId="12" borderId="111" xfId="0" applyFill="1" applyBorder="1" applyAlignment="1">
      <alignment horizontal="center" vertical="center"/>
    </xf>
    <xf numFmtId="0" fontId="0" fillId="12" borderId="109" xfId="0" applyFill="1" applyBorder="1" applyAlignment="1">
      <alignment horizontal="center" vertical="center"/>
    </xf>
    <xf numFmtId="0" fontId="24" fillId="12" borderId="122" xfId="0" applyFont="1" applyFill="1" applyBorder="1" applyAlignment="1">
      <alignment horizontal="center" vertical="center"/>
    </xf>
    <xf numFmtId="0" fontId="24" fillId="12" borderId="110" xfId="0" applyFont="1" applyFill="1" applyBorder="1" applyAlignment="1">
      <alignment horizontal="center" vertical="center"/>
    </xf>
    <xf numFmtId="0" fontId="0" fillId="0" borderId="14" xfId="0" applyBorder="1" applyAlignment="1">
      <alignment horizontal="center"/>
    </xf>
    <xf numFmtId="0" fontId="0" fillId="0" borderId="142" xfId="0" applyBorder="1" applyAlignment="1">
      <alignment horizontal="center"/>
    </xf>
    <xf numFmtId="0" fontId="23" fillId="5" borderId="38" xfId="0" applyFont="1" applyFill="1" applyBorder="1" applyAlignment="1">
      <alignment horizontal="center" vertical="center"/>
    </xf>
    <xf numFmtId="0" fontId="23" fillId="5" borderId="7" xfId="0" applyFont="1" applyFill="1" applyBorder="1" applyAlignment="1">
      <alignment horizontal="center" vertical="center"/>
    </xf>
    <xf numFmtId="0" fontId="10" fillId="8" borderId="90" xfId="0" applyFont="1" applyFill="1" applyBorder="1" applyAlignment="1">
      <alignment horizontal="center"/>
    </xf>
    <xf numFmtId="0" fontId="10" fillId="8" borderId="80" xfId="0" applyFont="1" applyFill="1" applyBorder="1" applyAlignment="1">
      <alignment horizontal="center"/>
    </xf>
    <xf numFmtId="0" fontId="0" fillId="0" borderId="76" xfId="0" applyBorder="1" applyAlignment="1">
      <alignment horizontal="center"/>
    </xf>
    <xf numFmtId="0" fontId="0" fillId="0" borderId="31" xfId="0" applyBorder="1" applyAlignment="1">
      <alignment horizontal="center"/>
    </xf>
    <xf numFmtId="0" fontId="6" fillId="10" borderId="152" xfId="0" applyFont="1" applyFill="1" applyBorder="1" applyAlignment="1">
      <alignment horizontal="center" vertical="center" wrapText="1"/>
    </xf>
    <xf numFmtId="0" fontId="6" fillId="10" borderId="106" xfId="0" applyFont="1" applyFill="1" applyBorder="1" applyAlignment="1">
      <alignment horizontal="center" vertical="center" wrapText="1"/>
    </xf>
    <xf numFmtId="0" fontId="10" fillId="13" borderId="80" xfId="0" applyFont="1" applyFill="1" applyBorder="1" applyAlignment="1">
      <alignment horizontal="center"/>
    </xf>
    <xf numFmtId="0" fontId="6" fillId="8" borderId="105" xfId="0" applyFont="1" applyFill="1" applyBorder="1" applyAlignment="1">
      <alignment horizontal="center" vertical="center" wrapText="1"/>
    </xf>
    <xf numFmtId="0" fontId="6" fillId="8" borderId="173" xfId="0" applyFont="1" applyFill="1" applyBorder="1" applyAlignment="1">
      <alignment horizontal="center" vertical="center" wrapText="1"/>
    </xf>
    <xf numFmtId="0" fontId="26" fillId="4" borderId="0" xfId="0" applyFont="1" applyFill="1" applyAlignment="1">
      <alignment horizontal="center" vertical="center"/>
    </xf>
    <xf numFmtId="0" fontId="6" fillId="0" borderId="25" xfId="0" applyFont="1" applyBorder="1" applyAlignment="1">
      <alignment horizontal="center" vertical="center" wrapText="1"/>
    </xf>
    <xf numFmtId="0" fontId="6" fillId="0" borderId="61" xfId="0" applyFont="1" applyBorder="1" applyAlignment="1">
      <alignment horizontal="center" vertical="center" wrapText="1"/>
    </xf>
    <xf numFmtId="0" fontId="6" fillId="7" borderId="139" xfId="0" applyFont="1" applyFill="1" applyBorder="1" applyAlignment="1">
      <alignment horizontal="center" vertical="center" wrapText="1"/>
    </xf>
    <xf numFmtId="0" fontId="6" fillId="7" borderId="137" xfId="0" applyFont="1" applyFill="1" applyBorder="1" applyAlignment="1">
      <alignment horizontal="center" vertical="center" wrapText="1"/>
    </xf>
    <xf numFmtId="0" fontId="6" fillId="7" borderId="135" xfId="0" applyFont="1" applyFill="1" applyBorder="1" applyAlignment="1">
      <alignment horizontal="center" vertical="center" wrapText="1"/>
    </xf>
    <xf numFmtId="0" fontId="6" fillId="7" borderId="133" xfId="0" applyFont="1" applyFill="1" applyBorder="1" applyAlignment="1">
      <alignment horizontal="center" vertical="center" wrapText="1"/>
    </xf>
    <xf numFmtId="0" fontId="6" fillId="7" borderId="134" xfId="0" applyFont="1" applyFill="1" applyBorder="1" applyAlignment="1">
      <alignment horizontal="center" vertical="center" wrapText="1"/>
    </xf>
    <xf numFmtId="0" fontId="6" fillId="7" borderId="138" xfId="0" applyFont="1" applyFill="1" applyBorder="1" applyAlignment="1">
      <alignment horizontal="center" vertical="center" wrapText="1"/>
    </xf>
    <xf numFmtId="0" fontId="6" fillId="13" borderId="26" xfId="0" applyFont="1" applyFill="1" applyBorder="1" applyAlignment="1">
      <alignment horizontal="center" vertical="center" wrapText="1"/>
    </xf>
    <xf numFmtId="0" fontId="6" fillId="13" borderId="27" xfId="0" applyFont="1" applyFill="1" applyBorder="1" applyAlignment="1">
      <alignment horizontal="center" vertical="center" wrapText="1"/>
    </xf>
    <xf numFmtId="0" fontId="6" fillId="13" borderId="25" xfId="0" applyFont="1" applyFill="1" applyBorder="1" applyAlignment="1">
      <alignment horizontal="center" vertical="center" wrapText="1"/>
    </xf>
    <xf numFmtId="0" fontId="6" fillId="9" borderId="108" xfId="0" applyFont="1" applyFill="1" applyBorder="1" applyAlignment="1">
      <alignment horizontal="center" vertical="center" wrapText="1"/>
    </xf>
    <xf numFmtId="0" fontId="6" fillId="9" borderId="140" xfId="0" applyFont="1" applyFill="1" applyBorder="1" applyAlignment="1">
      <alignment horizontal="center" vertical="center" wrapText="1"/>
    </xf>
    <xf numFmtId="0" fontId="10" fillId="9" borderId="82" xfId="0" applyFont="1" applyFill="1" applyBorder="1" applyAlignment="1">
      <alignment horizontal="center"/>
    </xf>
    <xf numFmtId="0" fontId="10" fillId="9" borderId="80" xfId="0" applyFont="1" applyFill="1" applyBorder="1" applyAlignment="1">
      <alignment horizontal="center"/>
    </xf>
    <xf numFmtId="0" fontId="6" fillId="11" borderId="216" xfId="0" applyFont="1" applyFill="1" applyBorder="1" applyAlignment="1">
      <alignment horizontal="center" vertical="center" wrapText="1"/>
    </xf>
    <xf numFmtId="0" fontId="6" fillId="11" borderId="128" xfId="0" applyFont="1" applyFill="1" applyBorder="1" applyAlignment="1">
      <alignment horizontal="center" vertical="center" wrapText="1"/>
    </xf>
    <xf numFmtId="0" fontId="6" fillId="11" borderId="129" xfId="0" applyFont="1" applyFill="1" applyBorder="1" applyAlignment="1">
      <alignment horizontal="center" vertical="center" wrapText="1"/>
    </xf>
    <xf numFmtId="0" fontId="10" fillId="11" borderId="82" xfId="0" applyFont="1" applyFill="1" applyBorder="1" applyAlignment="1">
      <alignment horizontal="center"/>
    </xf>
    <xf numFmtId="0" fontId="10" fillId="11" borderId="0" xfId="0" applyFont="1" applyFill="1" applyAlignment="1">
      <alignment horizontal="center"/>
    </xf>
    <xf numFmtId="0" fontId="6" fillId="11" borderId="130" xfId="0" applyFont="1" applyFill="1" applyBorder="1" applyAlignment="1">
      <alignment horizontal="center" vertical="center" wrapText="1"/>
    </xf>
    <xf numFmtId="0" fontId="29" fillId="0" borderId="131" xfId="0" applyFont="1" applyBorder="1" applyAlignment="1">
      <alignment horizontal="center"/>
    </xf>
    <xf numFmtId="0" fontId="29" fillId="0" borderId="132" xfId="0" applyFont="1" applyBorder="1" applyAlignment="1">
      <alignment horizontal="center"/>
    </xf>
    <xf numFmtId="0" fontId="10" fillId="7" borderId="172" xfId="0" applyFont="1" applyFill="1" applyBorder="1" applyAlignment="1">
      <alignment horizontal="center"/>
    </xf>
    <xf numFmtId="0" fontId="10" fillId="7" borderId="80" xfId="0" applyFont="1" applyFill="1" applyBorder="1" applyAlignment="1">
      <alignment horizontal="center"/>
    </xf>
    <xf numFmtId="0" fontId="10" fillId="7" borderId="0" xfId="0" applyFont="1" applyFill="1" applyAlignment="1">
      <alignment horizontal="center"/>
    </xf>
    <xf numFmtId="0" fontId="6" fillId="0" borderId="229" xfId="0" applyFont="1" applyBorder="1" applyAlignment="1">
      <alignment horizontal="center" vertical="center" wrapText="1"/>
    </xf>
    <xf numFmtId="0" fontId="6" fillId="0" borderId="230" xfId="0" applyFont="1" applyBorder="1" applyAlignment="1">
      <alignment horizontal="center" vertical="center" wrapText="1"/>
    </xf>
    <xf numFmtId="0" fontId="0" fillId="0" borderId="228" xfId="0" applyBorder="1" applyAlignment="1">
      <alignment horizontal="center"/>
    </xf>
    <xf numFmtId="0" fontId="10" fillId="9" borderId="83" xfId="0" applyFont="1" applyFill="1" applyBorder="1" applyAlignment="1">
      <alignment horizontal="center"/>
    </xf>
    <xf numFmtId="0" fontId="0" fillId="0" borderId="231" xfId="0" applyBorder="1" applyAlignment="1">
      <alignment horizontal="center"/>
    </xf>
    <xf numFmtId="0" fontId="0" fillId="0" borderId="232" xfId="0" applyBorder="1" applyAlignment="1">
      <alignment horizontal="center"/>
    </xf>
    <xf numFmtId="0" fontId="27" fillId="0" borderId="68" xfId="0" applyFont="1" applyBorder="1" applyAlignment="1"/>
    <xf numFmtId="0" fontId="27" fillId="0" borderId="69" xfId="0" applyFont="1" applyBorder="1" applyAlignment="1"/>
    <xf numFmtId="0" fontId="9" fillId="0" borderId="43" xfId="0" applyFont="1" applyBorder="1" applyAlignment="1"/>
    <xf numFmtId="0" fontId="9" fillId="0" borderId="47" xfId="0" applyFont="1" applyBorder="1" applyAlignment="1"/>
  </cellXfs>
  <cellStyles count="2">
    <cellStyle name="Normal" xfId="0" builtinId="0"/>
    <cellStyle name="Per cent" xfId="1" builtinId="5"/>
  </cellStyles>
  <dxfs count="1">
    <dxf>
      <numFmt numFmtId="19" formatCode="dd/mm/yyyy"/>
    </dxf>
  </dxfs>
  <tableStyles count="0" defaultTableStyle="TableStyleMedium2" defaultPivotStyle="PivotStyleLight16"/>
  <colors>
    <mruColors>
      <color rgb="FFF2F2F2"/>
      <color rgb="FFF5F5F5"/>
      <color rgb="FFC2D9DC"/>
      <color rgb="FFF7F7F7"/>
      <color rgb="FFA2C4C9"/>
      <color rgb="FFE2EFDA"/>
      <color rgb="FFD3E3E5"/>
      <color rgb="FFADCBCF"/>
      <color rgb="FFFFFFFF"/>
      <color rgb="FFEAD1D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microsoft.com/office/2007/relationships/slicerCache" Target="slicerCaches/slicerCache5.xml"/><Relationship Id="rId21" Type="http://schemas.openxmlformats.org/officeDocument/2006/relationships/pivotCacheDefinition" Target="pivotCache/pivotCacheDefinition1.xml"/><Relationship Id="rId34"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microsoft.com/office/2007/relationships/slicerCache" Target="slicerCaches/slicerCache4.xml"/><Relationship Id="rId33"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onnections" Target="connection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microsoft.com/office/2007/relationships/slicerCache" Target="slicerCaches/slicerCache3.xml"/><Relationship Id="rId32" Type="http://schemas.openxmlformats.org/officeDocument/2006/relationships/calcChain" Target="calcChain.xml"/><Relationship Id="rId37" Type="http://schemas.openxmlformats.org/officeDocument/2006/relationships/customXml" Target="../customXml/item5.xml"/><Relationship Id="rId5" Type="http://schemas.openxmlformats.org/officeDocument/2006/relationships/worksheet" Target="worksheets/sheet5.xml"/><Relationship Id="rId15" Type="http://schemas.openxmlformats.org/officeDocument/2006/relationships/worksheet" Target="worksheets/sheet15.xml"/><Relationship Id="rId23" Type="http://schemas.microsoft.com/office/2007/relationships/slicerCache" Target="slicerCaches/slicerCache2.xml"/><Relationship Id="rId28" Type="http://schemas.openxmlformats.org/officeDocument/2006/relationships/theme" Target="theme/theme1.xml"/><Relationship Id="rId36" Type="http://schemas.openxmlformats.org/officeDocument/2006/relationships/customXml" Target="../customXml/item4.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microsoft.com/office/2007/relationships/slicerCache" Target="slicerCaches/slicerCache1.xml"/><Relationship Id="rId27" Type="http://schemas.microsoft.com/office/2007/relationships/slicerCache" Target="slicerCaches/slicerCache6.xml"/><Relationship Id="rId30" Type="http://schemas.openxmlformats.org/officeDocument/2006/relationships/styles" Target="styles.xml"/><Relationship Id="rId35" Type="http://schemas.openxmlformats.org/officeDocument/2006/relationships/customXml" Target="../customXml/item3.xml"/><Relationship Id="rId8" Type="http://schemas.openxmlformats.org/officeDocument/2006/relationships/worksheet" Target="worksheets/sheet8.xml"/><Relationship Id="rId3" Type="http://schemas.openxmlformats.org/officeDocument/2006/relationships/worksheet" Target="worksheets/sheet3.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_rels/activeX4.xml.rels><?xml version="1.0" encoding="UTF-8" standalone="yes"?>
<Relationships xmlns="http://schemas.openxmlformats.org/package/2006/relationships"><Relationship Id="rId1" Type="http://schemas.microsoft.com/office/2006/relationships/activeXControlBinary" Target="activeX4.bin"/></Relationships>
</file>

<file path=xl/activeX/_rels/activeX5.xml.rels><?xml version="1.0" encoding="UTF-8" standalone="yes"?>
<Relationships xmlns="http://schemas.openxmlformats.org/package/2006/relationships"><Relationship Id="rId1" Type="http://schemas.microsoft.com/office/2006/relationships/activeXControlBinary" Target="activeX5.bin"/></Relationships>
</file>

<file path=xl/activeX/_rels/activeX6.xml.rels><?xml version="1.0" encoding="UTF-8" standalone="yes"?>
<Relationships xmlns="http://schemas.openxmlformats.org/package/2006/relationships"><Relationship Id="rId1" Type="http://schemas.microsoft.com/office/2006/relationships/activeXControlBinary" Target="activeX6.bin"/></Relationships>
</file>

<file path=xl/activeX/_rels/activeX7.xml.rels><?xml version="1.0" encoding="UTF-8" standalone="yes"?>
<Relationships xmlns="http://schemas.openxmlformats.org/package/2006/relationships"><Relationship Id="rId1" Type="http://schemas.microsoft.com/office/2006/relationships/activeXControlBinary" Target="activeX7.bin"/></Relationships>
</file>

<file path=xl/activeX/_rels/activeX8.xml.rels><?xml version="1.0" encoding="UTF-8" standalone="yes"?>
<Relationships xmlns="http://schemas.openxmlformats.org/package/2006/relationships"><Relationship Id="rId1" Type="http://schemas.microsoft.com/office/2006/relationships/activeXControlBinary" Target="activeX8.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activeX/activeX4.xml><?xml version="1.0" encoding="utf-8"?>
<ax:ocx xmlns:ax="http://schemas.microsoft.com/office/2006/activeX" xmlns:r="http://schemas.openxmlformats.org/officeDocument/2006/relationships" ax:classid="{8BD21D30-EC42-11CE-9E0D-00AA006002F3}" ax:persistence="persistStreamInit" r:id="rId1"/>
</file>

<file path=xl/activeX/activeX5.xml><?xml version="1.0" encoding="utf-8"?>
<ax:ocx xmlns:ax="http://schemas.microsoft.com/office/2006/activeX" xmlns:r="http://schemas.openxmlformats.org/officeDocument/2006/relationships" ax:classid="{8BD21D30-EC42-11CE-9E0D-00AA006002F3}" ax:persistence="persistStreamInit" r:id="rId1"/>
</file>

<file path=xl/activeX/activeX6.xml><?xml version="1.0" encoding="utf-8"?>
<ax:ocx xmlns:ax="http://schemas.microsoft.com/office/2006/activeX" xmlns:r="http://schemas.openxmlformats.org/officeDocument/2006/relationships" ax:classid="{8BD21D30-EC42-11CE-9E0D-00AA006002F3}" ax:persistence="persistStreamInit" r:id="rId1"/>
</file>

<file path=xl/activeX/activeX7.xml><?xml version="1.0" encoding="utf-8"?>
<ax:ocx xmlns:ax="http://schemas.microsoft.com/office/2006/activeX" xmlns:r="http://schemas.openxmlformats.org/officeDocument/2006/relationships" ax:classid="{8BD21D30-EC42-11CE-9E0D-00AA006002F3}" ax:persistence="persistStreamInit" r:id="rId1"/>
</file>

<file path=xl/activeX/activeX8.xml><?xml version="1.0" encoding="utf-8"?>
<ax:ocx xmlns:ax="http://schemas.microsoft.com/office/2006/activeX" xmlns:r="http://schemas.openxmlformats.org/officeDocument/2006/relationships" ax:classid="{8BD21D30-EC42-11CE-9E0D-00AA006002F3}" ax:persistence="persistStreamInit" r:id="rId1"/>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3" Type="http://schemas.openxmlformats.org/officeDocument/2006/relationships/chartUserShapes" Target="../drawings/drawing3.xml"/><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3" Type="http://schemas.openxmlformats.org/officeDocument/2006/relationships/chartUserShapes" Target="../drawings/drawing4.xml"/><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3" Type="http://schemas.openxmlformats.org/officeDocument/2006/relationships/themeOverride" Target="../theme/themeOverride1.xml"/><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3" Type="http://schemas.openxmlformats.org/officeDocument/2006/relationships/chartUserShapes" Target="../drawings/drawing6.xml"/><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3" Type="http://schemas.openxmlformats.org/officeDocument/2006/relationships/chartUserShapes" Target="../drawings/drawing7.xml"/><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3" Type="http://schemas.openxmlformats.org/officeDocument/2006/relationships/themeOverride" Target="../theme/themeOverride2.xml"/><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3" Type="http://schemas.openxmlformats.org/officeDocument/2006/relationships/themeOverride" Target="../theme/themeOverride3.xml"/><Relationship Id="rId2" Type="http://schemas.microsoft.com/office/2011/relationships/chartColorStyle" Target="colors12.xml"/><Relationship Id="rId1" Type="http://schemas.microsoft.com/office/2011/relationships/chartStyle" Target="style12.xml"/></Relationships>
</file>

<file path=xl/charts/_rels/chart13.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_rels/chart14.xml.rels><?xml version="1.0" encoding="UTF-8" standalone="yes"?>
<Relationships xmlns="http://schemas.openxmlformats.org/package/2006/relationships"><Relationship Id="rId2" Type="http://schemas.microsoft.com/office/2011/relationships/chartColorStyle" Target="colors14.xml"/><Relationship Id="rId1" Type="http://schemas.microsoft.com/office/2011/relationships/chartStyle" Target="style14.xml"/></Relationships>
</file>

<file path=xl/charts/_rels/chart15.xml.rels><?xml version="1.0" encoding="UTF-8" standalone="yes"?>
<Relationships xmlns="http://schemas.openxmlformats.org/package/2006/relationships"><Relationship Id="rId3" Type="http://schemas.openxmlformats.org/officeDocument/2006/relationships/themeOverride" Target="../theme/themeOverride4.xml"/><Relationship Id="rId2" Type="http://schemas.microsoft.com/office/2011/relationships/chartColorStyle" Target="colors15.xml"/><Relationship Id="rId1" Type="http://schemas.microsoft.com/office/2011/relationships/chartStyle" Target="style15.xml"/></Relationships>
</file>

<file path=xl/charts/_rels/chart16.xml.rels><?xml version="1.0" encoding="UTF-8" standalone="yes"?>
<Relationships xmlns="http://schemas.openxmlformats.org/package/2006/relationships"><Relationship Id="rId3" Type="http://schemas.openxmlformats.org/officeDocument/2006/relationships/themeOverride" Target="../theme/themeOverride5.xml"/><Relationship Id="rId2" Type="http://schemas.microsoft.com/office/2011/relationships/chartColorStyle" Target="colors16.xml"/><Relationship Id="rId1" Type="http://schemas.microsoft.com/office/2011/relationships/chartStyle" Target="style16.xml"/></Relationships>
</file>

<file path=xl/charts/_rels/chart17.xml.rels><?xml version="1.0" encoding="UTF-8" standalone="yes"?>
<Relationships xmlns="http://schemas.openxmlformats.org/package/2006/relationships"><Relationship Id="rId3" Type="http://schemas.openxmlformats.org/officeDocument/2006/relationships/themeOverride" Target="../theme/themeOverride6.xml"/><Relationship Id="rId2" Type="http://schemas.microsoft.com/office/2011/relationships/chartColorStyle" Target="colors17.xml"/><Relationship Id="rId1" Type="http://schemas.microsoft.com/office/2011/relationships/chartStyle" Target="style17.xml"/></Relationships>
</file>

<file path=xl/charts/_rels/chart18.xml.rels><?xml version="1.0" encoding="UTF-8" standalone="yes"?>
<Relationships xmlns="http://schemas.openxmlformats.org/package/2006/relationships"><Relationship Id="rId3" Type="http://schemas.openxmlformats.org/officeDocument/2006/relationships/themeOverride" Target="../theme/themeOverride7.xml"/><Relationship Id="rId2" Type="http://schemas.microsoft.com/office/2011/relationships/chartColorStyle" Target="colors18.xml"/><Relationship Id="rId1" Type="http://schemas.microsoft.com/office/2011/relationships/chartStyle" Target="style18.xml"/></Relationships>
</file>

<file path=xl/charts/_rels/chart19.xml.rels><?xml version="1.0" encoding="UTF-8" standalone="yes"?>
<Relationships xmlns="http://schemas.openxmlformats.org/package/2006/relationships"><Relationship Id="rId3" Type="http://schemas.openxmlformats.org/officeDocument/2006/relationships/themeOverride" Target="../theme/themeOverride8.xml"/><Relationship Id="rId2" Type="http://schemas.microsoft.com/office/2011/relationships/chartColorStyle" Target="colors19.xml"/><Relationship Id="rId1" Type="http://schemas.microsoft.com/office/2011/relationships/chartStyle" Target="style19.xml"/></Relationships>
</file>

<file path=xl/charts/_rels/chart20.xml.rels><?xml version="1.0" encoding="UTF-8" standalone="yes"?>
<Relationships xmlns="http://schemas.openxmlformats.org/package/2006/relationships"><Relationship Id="rId3" Type="http://schemas.openxmlformats.org/officeDocument/2006/relationships/themeOverride" Target="../theme/themeOverride9.xml"/><Relationship Id="rId2" Type="http://schemas.microsoft.com/office/2011/relationships/chartColorStyle" Target="colors20.xml"/><Relationship Id="rId1" Type="http://schemas.microsoft.com/office/2011/relationships/chartStyle" Target="style20.xml"/></Relationships>
</file>

<file path=xl/charts/_rels/chart21.xml.rels><?xml version="1.0" encoding="UTF-8" standalone="yes"?>
<Relationships xmlns="http://schemas.openxmlformats.org/package/2006/relationships"><Relationship Id="rId3" Type="http://schemas.openxmlformats.org/officeDocument/2006/relationships/themeOverride" Target="../theme/themeOverride10.xml"/><Relationship Id="rId2" Type="http://schemas.microsoft.com/office/2011/relationships/chartColorStyle" Target="colors21.xml"/><Relationship Id="rId1" Type="http://schemas.microsoft.com/office/2011/relationships/chartStyle" Target="style21.xml"/></Relationships>
</file>

<file path=xl/charts/_rels/chart22.xml.rels><?xml version="1.0" encoding="UTF-8" standalone="yes"?>
<Relationships xmlns="http://schemas.openxmlformats.org/package/2006/relationships"><Relationship Id="rId3" Type="http://schemas.openxmlformats.org/officeDocument/2006/relationships/themeOverride" Target="../theme/themeOverride11.xml"/><Relationship Id="rId2" Type="http://schemas.microsoft.com/office/2011/relationships/chartColorStyle" Target="colors22.xml"/><Relationship Id="rId1" Type="http://schemas.microsoft.com/office/2011/relationships/chartStyle" Target="style22.xml"/></Relationships>
</file>

<file path=xl/charts/_rels/chart23.xml.rels><?xml version="1.0" encoding="UTF-8" standalone="yes"?>
<Relationships xmlns="http://schemas.openxmlformats.org/package/2006/relationships"><Relationship Id="rId3" Type="http://schemas.openxmlformats.org/officeDocument/2006/relationships/themeOverride" Target="../theme/themeOverride12.xml"/><Relationship Id="rId2" Type="http://schemas.microsoft.com/office/2011/relationships/chartColorStyle" Target="colors23.xml"/><Relationship Id="rId1" Type="http://schemas.microsoft.com/office/2011/relationships/chartStyle" Target="style23.xml"/></Relationships>
</file>

<file path=xl/charts/_rels/chart24.xml.rels><?xml version="1.0" encoding="UTF-8" standalone="yes"?>
<Relationships xmlns="http://schemas.openxmlformats.org/package/2006/relationships"><Relationship Id="rId3" Type="http://schemas.openxmlformats.org/officeDocument/2006/relationships/themeOverride" Target="../theme/themeOverride13.xml"/><Relationship Id="rId2" Type="http://schemas.microsoft.com/office/2011/relationships/chartColorStyle" Target="colors24.xml"/><Relationship Id="rId1" Type="http://schemas.microsoft.com/office/2011/relationships/chartStyle" Target="style24.xml"/></Relationships>
</file>

<file path=xl/charts/_rels/chart25.xml.rels><?xml version="1.0" encoding="UTF-8" standalone="yes"?>
<Relationships xmlns="http://schemas.openxmlformats.org/package/2006/relationships"><Relationship Id="rId3" Type="http://schemas.openxmlformats.org/officeDocument/2006/relationships/themeOverride" Target="../theme/themeOverride14.xml"/><Relationship Id="rId2" Type="http://schemas.microsoft.com/office/2011/relationships/chartColorStyle" Target="colors25.xml"/><Relationship Id="rId1" Type="http://schemas.microsoft.com/office/2011/relationships/chartStyle" Target="style2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39129483814524"/>
          <c:y val="0.13212257722592369"/>
          <c:w val="0.8723864829396325"/>
          <c:h val="0.72021161417322832"/>
        </c:manualLayout>
      </c:layout>
      <c:barChart>
        <c:barDir val="bar"/>
        <c:grouping val="stacked"/>
        <c:varyColors val="0"/>
        <c:ser>
          <c:idx val="0"/>
          <c:order val="0"/>
          <c:spPr>
            <a:solidFill>
              <a:schemeClr val="accent1">
                <a:lumMod val="50000"/>
              </a:scheme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inBase"/>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numRef>
              <c:f>Sheet1!$C$3:$C$8</c:f>
              <c:numCache>
                <c:formatCode>General</c:formatCode>
                <c:ptCount val="6"/>
                <c:pt idx="0">
                  <c:v>2014</c:v>
                </c:pt>
                <c:pt idx="1">
                  <c:v>2015</c:v>
                </c:pt>
                <c:pt idx="2">
                  <c:v>2016</c:v>
                </c:pt>
                <c:pt idx="3">
                  <c:v>2017</c:v>
                </c:pt>
                <c:pt idx="4">
                  <c:v>2018</c:v>
                </c:pt>
                <c:pt idx="5">
                  <c:v>2019</c:v>
                </c:pt>
              </c:numCache>
            </c:numRef>
          </c:cat>
          <c:val>
            <c:numRef>
              <c:f>Sheet1!$D$3:$D$8</c:f>
              <c:numCache>
                <c:formatCode>General</c:formatCode>
                <c:ptCount val="6"/>
                <c:pt idx="0">
                  <c:v>196</c:v>
                </c:pt>
                <c:pt idx="1">
                  <c:v>297</c:v>
                </c:pt>
                <c:pt idx="2">
                  <c:v>510</c:v>
                </c:pt>
                <c:pt idx="3">
                  <c:v>165</c:v>
                </c:pt>
                <c:pt idx="4">
                  <c:v>129</c:v>
                </c:pt>
                <c:pt idx="5">
                  <c:v>103</c:v>
                </c:pt>
              </c:numCache>
            </c:numRef>
          </c:val>
          <c:extLst>
            <c:ext xmlns:c16="http://schemas.microsoft.com/office/drawing/2014/chart" uri="{C3380CC4-5D6E-409C-BE32-E72D297353CC}">
              <c16:uniqueId val="{00000000-54BF-47E6-8BF3-C7EA21B4581B}"/>
            </c:ext>
          </c:extLst>
        </c:ser>
        <c:ser>
          <c:idx val="1"/>
          <c:order val="1"/>
          <c:spPr>
            <a:solidFill>
              <a:schemeClr val="bg1">
                <a:lumMod val="95000"/>
              </a:schemeClr>
            </a:solidFill>
            <a:ln>
              <a:noFill/>
            </a:ln>
            <a:effectLst/>
          </c:spPr>
          <c:invertIfNegative val="0"/>
          <c:dLbls>
            <c:delete val="1"/>
          </c:dLbls>
          <c:cat>
            <c:numRef>
              <c:f>Sheet1!$C$3:$C$8</c:f>
              <c:numCache>
                <c:formatCode>General</c:formatCode>
                <c:ptCount val="6"/>
                <c:pt idx="0">
                  <c:v>2014</c:v>
                </c:pt>
                <c:pt idx="1">
                  <c:v>2015</c:v>
                </c:pt>
                <c:pt idx="2">
                  <c:v>2016</c:v>
                </c:pt>
                <c:pt idx="3">
                  <c:v>2017</c:v>
                </c:pt>
                <c:pt idx="4">
                  <c:v>2018</c:v>
                </c:pt>
                <c:pt idx="5">
                  <c:v>2019</c:v>
                </c:pt>
              </c:numCache>
            </c:numRef>
          </c:cat>
          <c:val>
            <c:numRef>
              <c:f>Sheet1!$E$3:$E$8</c:f>
              <c:numCache>
                <c:formatCode>General</c:formatCode>
                <c:ptCount val="6"/>
                <c:pt idx="0">
                  <c:v>314</c:v>
                </c:pt>
                <c:pt idx="1">
                  <c:v>213</c:v>
                </c:pt>
                <c:pt idx="2">
                  <c:v>0</c:v>
                </c:pt>
                <c:pt idx="3">
                  <c:v>345</c:v>
                </c:pt>
                <c:pt idx="4">
                  <c:v>381</c:v>
                </c:pt>
                <c:pt idx="5">
                  <c:v>407</c:v>
                </c:pt>
              </c:numCache>
            </c:numRef>
          </c:val>
          <c:extLst>
            <c:ext xmlns:c16="http://schemas.microsoft.com/office/drawing/2014/chart" uri="{C3380CC4-5D6E-409C-BE32-E72D297353CC}">
              <c16:uniqueId val="{00000001-54BF-47E6-8BF3-C7EA21B4581B}"/>
            </c:ext>
          </c:extLst>
        </c:ser>
        <c:dLbls>
          <c:dLblPos val="ctr"/>
          <c:showLegendKey val="0"/>
          <c:showVal val="1"/>
          <c:showCatName val="0"/>
          <c:showSerName val="0"/>
          <c:showPercent val="0"/>
          <c:showBubbleSize val="0"/>
        </c:dLbls>
        <c:gapWidth val="86"/>
        <c:overlap val="100"/>
        <c:axId val="178438368"/>
        <c:axId val="178451264"/>
      </c:barChart>
      <c:catAx>
        <c:axId val="178438368"/>
        <c:scaling>
          <c:orientation val="maxMin"/>
        </c:scaling>
        <c:delete val="1"/>
        <c:axPos val="l"/>
        <c:numFmt formatCode="General" sourceLinked="1"/>
        <c:majorTickMark val="none"/>
        <c:minorTickMark val="none"/>
        <c:tickLblPos val="nextTo"/>
        <c:crossAx val="178451264"/>
        <c:crosses val="autoZero"/>
        <c:auto val="1"/>
        <c:lblAlgn val="ctr"/>
        <c:lblOffset val="100"/>
        <c:noMultiLvlLbl val="0"/>
      </c:catAx>
      <c:valAx>
        <c:axId val="178451264"/>
        <c:scaling>
          <c:orientation val="minMax"/>
        </c:scaling>
        <c:delete val="1"/>
        <c:axPos val="t"/>
        <c:numFmt formatCode="General" sourceLinked="1"/>
        <c:majorTickMark val="none"/>
        <c:minorTickMark val="none"/>
        <c:tickLblPos val="nextTo"/>
        <c:crossAx val="178438368"/>
        <c:crosses val="autoZero"/>
        <c:crossBetween val="between"/>
      </c:valAx>
      <c:spPr>
        <a:noFill/>
        <a:ln>
          <a:noFill/>
        </a:ln>
        <a:effectLst/>
      </c:spPr>
    </c:plotArea>
    <c:plotVisOnly val="1"/>
    <c:dispBlanksAs val="gap"/>
    <c:showDLblsOverMax val="0"/>
  </c:chart>
  <c:spPr>
    <a:solidFill>
      <a:schemeClr val="lt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47866568198129789"/>
          <c:y val="0.16701277792684846"/>
          <c:w val="0.52133431801870211"/>
          <c:h val="0.61498432487605714"/>
        </c:manualLayout>
      </c:layout>
      <c:barChart>
        <c:barDir val="bar"/>
        <c:grouping val="stacked"/>
        <c:varyColors val="0"/>
        <c:ser>
          <c:idx val="0"/>
          <c:order val="0"/>
          <c:tx>
            <c:v>Network</c:v>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Sheet1!$B$10:$B$15</c:f>
              <c:strCache>
                <c:ptCount val="6"/>
                <c:pt idx="0">
                  <c:v>Asthma review coded or proxy (inhaler technic) 12m</c:v>
                </c:pt>
                <c:pt idx="1">
                  <c:v>ACT recorded</c:v>
                </c:pt>
                <c:pt idx="2">
                  <c:v>Not on PPI 6m</c:v>
                </c:pt>
                <c:pt idx="3">
                  <c:v>not PPI, review</c:v>
                </c:pt>
                <c:pt idx="4">
                  <c:v>2018</c:v>
                </c:pt>
                <c:pt idx="5">
                  <c:v>2019</c:v>
                </c:pt>
              </c:strCache>
            </c:strRef>
          </c:cat>
          <c:val>
            <c:numRef>
              <c:f>Sheet1!$C$10:$C$15</c:f>
              <c:numCache>
                <c:formatCode>General</c:formatCode>
                <c:ptCount val="6"/>
                <c:pt idx="0">
                  <c:v>196</c:v>
                </c:pt>
                <c:pt idx="1">
                  <c:v>297</c:v>
                </c:pt>
                <c:pt idx="2">
                  <c:v>510</c:v>
                </c:pt>
                <c:pt idx="3">
                  <c:v>165</c:v>
                </c:pt>
                <c:pt idx="4">
                  <c:v>129</c:v>
                </c:pt>
                <c:pt idx="5">
                  <c:v>103</c:v>
                </c:pt>
              </c:numCache>
            </c:numRef>
          </c:val>
          <c:extLst>
            <c:ext xmlns:c16="http://schemas.microsoft.com/office/drawing/2014/chart" uri="{C3380CC4-5D6E-409C-BE32-E72D297353CC}">
              <c16:uniqueId val="{00000000-84FA-4482-937B-B2C401841F3B}"/>
            </c:ext>
          </c:extLst>
        </c:ser>
        <c:ser>
          <c:idx val="1"/>
          <c:order val="1"/>
          <c:tx>
            <c:v>Practice</c:v>
          </c:tx>
          <c:spPr>
            <a:solidFill>
              <a:schemeClr val="accent2"/>
            </a:solidFill>
            <a:ln>
              <a:noFill/>
            </a:ln>
            <a:effectLst/>
          </c:spPr>
          <c:invertIfNegative val="0"/>
          <c:dLbls>
            <c:numFmt formatCode="#,##0;[White]#,##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inBase"/>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Sheet1!$B$10:$B$15</c:f>
              <c:strCache>
                <c:ptCount val="6"/>
                <c:pt idx="0">
                  <c:v>Asthma review coded or proxy (inhaler technic) 12m</c:v>
                </c:pt>
                <c:pt idx="1">
                  <c:v>ACT recorded</c:v>
                </c:pt>
                <c:pt idx="2">
                  <c:v>Not on PPI 6m</c:v>
                </c:pt>
                <c:pt idx="3">
                  <c:v>not PPI, review</c:v>
                </c:pt>
                <c:pt idx="4">
                  <c:v>2018</c:v>
                </c:pt>
                <c:pt idx="5">
                  <c:v>2019</c:v>
                </c:pt>
              </c:strCache>
            </c:strRef>
          </c:cat>
          <c:val>
            <c:numRef>
              <c:f>Sheet1!$D$10:$D$15</c:f>
              <c:numCache>
                <c:formatCode>General</c:formatCode>
                <c:ptCount val="6"/>
                <c:pt idx="0">
                  <c:v>-314</c:v>
                </c:pt>
                <c:pt idx="1">
                  <c:v>-213</c:v>
                </c:pt>
                <c:pt idx="2">
                  <c:v>-34</c:v>
                </c:pt>
                <c:pt idx="3">
                  <c:v>-250</c:v>
                </c:pt>
                <c:pt idx="4">
                  <c:v>-357</c:v>
                </c:pt>
                <c:pt idx="5">
                  <c:v>-400</c:v>
                </c:pt>
              </c:numCache>
            </c:numRef>
          </c:val>
          <c:extLst>
            <c:ext xmlns:c16="http://schemas.microsoft.com/office/drawing/2014/chart" uri="{C3380CC4-5D6E-409C-BE32-E72D297353CC}">
              <c16:uniqueId val="{00000001-84FA-4482-937B-B2C401841F3B}"/>
            </c:ext>
          </c:extLst>
        </c:ser>
        <c:dLbls>
          <c:showLegendKey val="0"/>
          <c:showVal val="0"/>
          <c:showCatName val="0"/>
          <c:showSerName val="0"/>
          <c:showPercent val="0"/>
          <c:showBubbleSize val="0"/>
        </c:dLbls>
        <c:gapWidth val="62"/>
        <c:overlap val="100"/>
        <c:axId val="230480096"/>
        <c:axId val="230482176"/>
      </c:barChart>
      <c:catAx>
        <c:axId val="230480096"/>
        <c:scaling>
          <c:orientation val="minMax"/>
        </c:scaling>
        <c:delete val="0"/>
        <c:axPos val="l"/>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t" anchorCtr="0"/>
          <a:lstStyle/>
          <a:p>
            <a:pPr>
              <a:defRPr sz="900" b="0" i="0" u="none" strike="noStrike" kern="1200" baseline="0">
                <a:ln>
                  <a:noFill/>
                </a:ln>
                <a:solidFill>
                  <a:schemeClr val="tx1">
                    <a:lumMod val="65000"/>
                    <a:lumOff val="35000"/>
                  </a:schemeClr>
                </a:solidFill>
                <a:latin typeface="+mn-lt"/>
                <a:ea typeface="+mn-ea"/>
                <a:cs typeface="+mn-cs"/>
              </a:defRPr>
            </a:pPr>
            <a:endParaRPr lang="en-US"/>
          </a:p>
        </c:txPr>
        <c:crossAx val="230482176"/>
        <c:crosses val="autoZero"/>
        <c:auto val="1"/>
        <c:lblAlgn val="ctr"/>
        <c:lblOffset val="30"/>
        <c:tickLblSkip val="1"/>
        <c:noMultiLvlLbl val="0"/>
      </c:catAx>
      <c:valAx>
        <c:axId val="230482176"/>
        <c:scaling>
          <c:orientation val="minMax"/>
        </c:scaling>
        <c:delete val="1"/>
        <c:axPos val="b"/>
        <c:numFmt formatCode="General" sourceLinked="1"/>
        <c:majorTickMark val="none"/>
        <c:minorTickMark val="none"/>
        <c:tickLblPos val="nextTo"/>
        <c:crossAx val="230480096"/>
        <c:crosses val="autoZero"/>
        <c:crossBetween val="between"/>
      </c:valAx>
      <c:spPr>
        <a:noFill/>
        <a:ln>
          <a:noFill/>
        </a:ln>
        <a:effectLst/>
      </c:spPr>
    </c:plotArea>
    <c:legend>
      <c:legendPos val="b"/>
      <c:layout>
        <c:manualLayout>
          <c:xMode val="edge"/>
          <c:yMode val="edge"/>
          <c:x val="0.20842187387127067"/>
          <c:y val="0.86032324906755075"/>
          <c:w val="0.46572477064220186"/>
          <c:h val="9.1093754981032227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10810357804539139"/>
          <c:y val="0.17256844850065192"/>
          <c:w val="0.84777877489578513"/>
          <c:h val="0.68558921660216199"/>
        </c:manualLayout>
      </c:layout>
      <c:lineChart>
        <c:grouping val="standard"/>
        <c:varyColors val="0"/>
        <c:ser>
          <c:idx val="0"/>
          <c:order val="0"/>
          <c:spPr>
            <a:ln w="28575" cap="rnd">
              <a:solidFill>
                <a:schemeClr val="accent1"/>
              </a:solidFill>
              <a:round/>
            </a:ln>
            <a:effectLst/>
          </c:spPr>
          <c:marker>
            <c:symbol val="circle"/>
            <c:size val="5"/>
            <c:spPr>
              <a:solidFill>
                <a:schemeClr val="accent1"/>
              </a:solidFill>
              <a:ln w="9525">
                <a:solidFill>
                  <a:schemeClr val="accent1"/>
                </a:solidFill>
              </a:ln>
              <a:effectLst/>
            </c:spPr>
          </c:marker>
          <c:cat>
            <c:numRef>
              <c:f>Sheet1!$B$18:$B$23</c:f>
              <c:numCache>
                <c:formatCode>General</c:formatCode>
                <c:ptCount val="6"/>
                <c:pt idx="0">
                  <c:v>2014</c:v>
                </c:pt>
                <c:pt idx="1">
                  <c:v>2015</c:v>
                </c:pt>
                <c:pt idx="2">
                  <c:v>2016</c:v>
                </c:pt>
                <c:pt idx="3">
                  <c:v>2017</c:v>
                </c:pt>
                <c:pt idx="4">
                  <c:v>2018</c:v>
                </c:pt>
                <c:pt idx="5">
                  <c:v>2019</c:v>
                </c:pt>
              </c:numCache>
            </c:numRef>
          </c:cat>
          <c:val>
            <c:numRef>
              <c:f>Sheet1!$C$18:$C$23</c:f>
              <c:numCache>
                <c:formatCode>0%</c:formatCode>
                <c:ptCount val="6"/>
                <c:pt idx="0">
                  <c:v>0.6</c:v>
                </c:pt>
                <c:pt idx="1">
                  <c:v>0.7</c:v>
                </c:pt>
                <c:pt idx="2">
                  <c:v>0.8</c:v>
                </c:pt>
                <c:pt idx="3">
                  <c:v>0.45</c:v>
                </c:pt>
                <c:pt idx="4">
                  <c:v>0.67</c:v>
                </c:pt>
                <c:pt idx="5">
                  <c:v>0.56000000000000005</c:v>
                </c:pt>
              </c:numCache>
            </c:numRef>
          </c:val>
          <c:smooth val="0"/>
          <c:extLst>
            <c:ext xmlns:c16="http://schemas.microsoft.com/office/drawing/2014/chart" uri="{C3380CC4-5D6E-409C-BE32-E72D297353CC}">
              <c16:uniqueId val="{00000000-34C1-4E64-B868-EBE74FEF08CE}"/>
            </c:ext>
          </c:extLst>
        </c:ser>
        <c:dLbls>
          <c:showLegendKey val="0"/>
          <c:showVal val="0"/>
          <c:showCatName val="0"/>
          <c:showSerName val="0"/>
          <c:showPercent val="0"/>
          <c:showBubbleSize val="0"/>
        </c:dLbls>
        <c:marker val="1"/>
        <c:smooth val="0"/>
        <c:axId val="230488832"/>
        <c:axId val="230485088"/>
      </c:lineChart>
      <c:catAx>
        <c:axId val="230488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30485088"/>
        <c:crosses val="autoZero"/>
        <c:auto val="1"/>
        <c:lblAlgn val="ctr"/>
        <c:lblOffset val="100"/>
        <c:noMultiLvlLbl val="0"/>
      </c:catAx>
      <c:valAx>
        <c:axId val="230485088"/>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30488832"/>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52642614410040856"/>
          <c:y val="0.30504605106179911"/>
          <c:w val="0.53341908661417325"/>
          <c:h val="0.61939461371676363"/>
        </c:manualLayout>
      </c:layout>
      <c:barChart>
        <c:barDir val="bar"/>
        <c:grouping val="stacked"/>
        <c:varyColors val="0"/>
        <c:ser>
          <c:idx val="0"/>
          <c:order val="0"/>
          <c:tx>
            <c:strRef>
              <c:f>Sheet5!$D$4</c:f>
              <c:strCache>
                <c:ptCount val="1"/>
                <c:pt idx="0">
                  <c:v>Chingford/ Walthamstow</c:v>
                </c:pt>
              </c:strCache>
            </c:strRef>
          </c:tx>
          <c:spPr>
            <a:solidFill>
              <a:schemeClr val="bg1">
                <a:lumMod val="65000"/>
              </a:schemeClr>
            </a:solidFill>
            <a:ln>
              <a:noFill/>
            </a:ln>
            <a:effectLst/>
          </c:spPr>
          <c:invertIfNegative val="0"/>
          <c:dLbls>
            <c:dLbl>
              <c:idx val="1"/>
              <c:layout>
                <c:manualLayout>
                  <c:x val="9.1337398614646736E-2"/>
                  <c:y val="1.4760147601476014E-2"/>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58D1-489F-B9F0-936AE803231F}"/>
                </c:ext>
              </c:extLst>
            </c:dLbl>
            <c:dLbl>
              <c:idx val="4"/>
              <c:layout>
                <c:manualLayout>
                  <c:x val="7.8671118110236221E-2"/>
                  <c:y val="-1.4492753623188406E-2"/>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BF6D-4803-B7A2-EF3C146E1D29}"/>
                </c:ext>
              </c:extLst>
            </c:dLbl>
            <c:spPr>
              <a:noFill/>
              <a:ln>
                <a:noFill/>
              </a:ln>
              <a:effectLst/>
            </c:spPr>
            <c:txPr>
              <a:bodyPr rot="0" spcFirstLastPara="1" vertOverflow="ellipsis" vert="horz" wrap="square" anchor="ctr" anchorCtr="1"/>
              <a:lstStyle/>
              <a:p>
                <a:pPr>
                  <a:defRPr sz="900" b="0" i="0" u="none" strike="noStrike" kern="1200" baseline="0">
                    <a:solidFill>
                      <a:schemeClr val="dk1"/>
                    </a:solidFill>
                    <a:latin typeface="+mn-lt"/>
                    <a:ea typeface="+mn-ea"/>
                    <a:cs typeface="+mn-cs"/>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Sheet5!$C$5:$C$9</c:f>
              <c:strCache>
                <c:ptCount val="5"/>
                <c:pt idx="0">
                  <c:v>1 Diabetes review recorded or proxy 12m</c:v>
                </c:pt>
                <c:pt idx="1">
                  <c:v>3 Triple target achieved</c:v>
                </c:pt>
                <c:pt idx="2">
                  <c:v>8 Asthma review coded or proxy(inhaler technique) 12m</c:v>
                </c:pt>
                <c:pt idx="3">
                  <c:v>11 ACT recorded</c:v>
                </c:pt>
                <c:pt idx="4">
                  <c:v>12 off target with clinical review(2)</c:v>
                </c:pt>
              </c:strCache>
            </c:strRef>
          </c:cat>
          <c:val>
            <c:numRef>
              <c:f>Sheet5!$D$5:$D$9</c:f>
              <c:numCache>
                <c:formatCode>0.0%</c:formatCode>
                <c:ptCount val="5"/>
                <c:pt idx="0">
                  <c:v>0.59175424413904609</c:v>
                </c:pt>
                <c:pt idx="1">
                  <c:v>0.13365442504515351</c:v>
                </c:pt>
                <c:pt idx="2">
                  <c:v>0.67511312217194575</c:v>
                </c:pt>
                <c:pt idx="3">
                  <c:v>0.89142091152815017</c:v>
                </c:pt>
                <c:pt idx="4">
                  <c:v>0.31586826347305391</c:v>
                </c:pt>
              </c:numCache>
            </c:numRef>
          </c:val>
          <c:extLst>
            <c:ext xmlns:c16="http://schemas.microsoft.com/office/drawing/2014/chart" uri="{C3380CC4-5D6E-409C-BE32-E72D297353CC}">
              <c16:uniqueId val="{00000000-58D1-489F-B9F0-936AE803231F}"/>
            </c:ext>
          </c:extLst>
        </c:ser>
        <c:ser>
          <c:idx val="1"/>
          <c:order val="1"/>
          <c:tx>
            <c:strRef>
              <c:f>Sheet5!$E$4</c:f>
              <c:strCache>
                <c:ptCount val="1"/>
                <c:pt idx="0">
                  <c:v>The Microfaculty **</c:v>
                </c:pt>
              </c:strCache>
            </c:strRef>
          </c:tx>
          <c:spPr>
            <a:solidFill>
              <a:srgbClr val="00B0F0"/>
            </a:solidFill>
            <a:ln>
              <a:noFill/>
            </a:ln>
            <a:effectLst/>
          </c:spPr>
          <c:invertIfNegative val="0"/>
          <c:dLbls>
            <c:dLbl>
              <c:idx val="1"/>
              <c:layout>
                <c:manualLayout>
                  <c:x val="-7.1917115623705036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58D1-489F-B9F0-936AE803231F}"/>
                </c:ext>
              </c:extLst>
            </c:dLbl>
            <c:spPr>
              <a:noFill/>
              <a:ln>
                <a:noFill/>
              </a:ln>
              <a:effectLst/>
            </c:spPr>
            <c:txPr>
              <a:bodyPr rot="0" spcFirstLastPara="1" vertOverflow="ellipsis" vert="horz" wrap="square" anchor="ctr" anchorCtr="1"/>
              <a:lstStyle/>
              <a:p>
                <a:pPr>
                  <a:defRPr sz="900" b="0" i="0" u="none" strike="noStrike" kern="1200" baseline="0">
                    <a:solidFill>
                      <a:schemeClr val="dk1"/>
                    </a:solidFill>
                    <a:latin typeface="+mn-lt"/>
                    <a:ea typeface="+mn-ea"/>
                    <a:cs typeface="+mn-cs"/>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Sheet5!$C$5:$C$9</c:f>
              <c:strCache>
                <c:ptCount val="5"/>
                <c:pt idx="0">
                  <c:v>1 Diabetes review recorded or proxy 12m</c:v>
                </c:pt>
                <c:pt idx="1">
                  <c:v>3 Triple target achieved</c:v>
                </c:pt>
                <c:pt idx="2">
                  <c:v>8 Asthma review coded or proxy(inhaler technique) 12m</c:v>
                </c:pt>
                <c:pt idx="3">
                  <c:v>11 ACT recorded</c:v>
                </c:pt>
                <c:pt idx="4">
                  <c:v>12 off target with clinical review(2)</c:v>
                </c:pt>
              </c:strCache>
            </c:strRef>
          </c:cat>
          <c:val>
            <c:numRef>
              <c:f>Sheet5!$E$5:$E$9</c:f>
              <c:numCache>
                <c:formatCode>0.0%</c:formatCode>
                <c:ptCount val="5"/>
                <c:pt idx="0">
                  <c:v>-0.65934065934065933</c:v>
                </c:pt>
                <c:pt idx="1">
                  <c:v>-0.15129151291512916</c:v>
                </c:pt>
                <c:pt idx="2">
                  <c:v>-0.64319248826291076</c:v>
                </c:pt>
                <c:pt idx="3">
                  <c:v>-0.99270072992700731</c:v>
                </c:pt>
                <c:pt idx="4">
                  <c:v>-0.69529652351738236</c:v>
                </c:pt>
              </c:numCache>
            </c:numRef>
          </c:val>
          <c:extLst>
            <c:ext xmlns:c16="http://schemas.microsoft.com/office/drawing/2014/chart" uri="{C3380CC4-5D6E-409C-BE32-E72D297353CC}">
              <c16:uniqueId val="{00000001-58D1-489F-B9F0-936AE803231F}"/>
            </c:ext>
          </c:extLst>
        </c:ser>
        <c:dLbls>
          <c:showLegendKey val="0"/>
          <c:showVal val="0"/>
          <c:showCatName val="0"/>
          <c:showSerName val="0"/>
          <c:showPercent val="0"/>
          <c:showBubbleSize val="0"/>
        </c:dLbls>
        <c:gapWidth val="150"/>
        <c:overlap val="100"/>
        <c:axId val="1276030303"/>
        <c:axId val="1276030719"/>
      </c:barChart>
      <c:catAx>
        <c:axId val="1276030303"/>
        <c:scaling>
          <c:orientation val="minMax"/>
        </c:scaling>
        <c:delete val="0"/>
        <c:axPos val="l"/>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dk1"/>
                </a:solidFill>
                <a:latin typeface="+mn-lt"/>
                <a:ea typeface="+mn-ea"/>
                <a:cs typeface="+mn-cs"/>
              </a:defRPr>
            </a:pPr>
            <a:endParaRPr lang="en-US"/>
          </a:p>
        </c:txPr>
        <c:crossAx val="1276030719"/>
        <c:crosses val="autoZero"/>
        <c:auto val="1"/>
        <c:lblAlgn val="ctr"/>
        <c:lblOffset val="100"/>
        <c:noMultiLvlLbl val="0"/>
      </c:catAx>
      <c:valAx>
        <c:axId val="1276030719"/>
        <c:scaling>
          <c:orientation val="minMax"/>
        </c:scaling>
        <c:delete val="1"/>
        <c:axPos val="b"/>
        <c:numFmt formatCode="0.0%" sourceLinked="1"/>
        <c:majorTickMark val="none"/>
        <c:minorTickMark val="none"/>
        <c:tickLblPos val="nextTo"/>
        <c:crossAx val="1276030303"/>
        <c:crosses val="autoZero"/>
        <c:crossBetween val="between"/>
      </c:valAx>
      <c:spPr>
        <a:solidFill>
          <a:schemeClr val="lt1"/>
        </a:solidFill>
        <a:ln w="12700" cap="flat" cmpd="sng" algn="ctr">
          <a:solidFill>
            <a:schemeClr val="dk1"/>
          </a:solidFill>
          <a:prstDash val="solid"/>
          <a:miter lim="800000"/>
        </a:ln>
        <a:effectLst/>
      </c:spPr>
    </c:plotArea>
    <c:plotVisOnly val="1"/>
    <c:dispBlanksAs val="gap"/>
    <c:showDLblsOverMax val="0"/>
  </c:chart>
  <c:spPr>
    <a:solidFill>
      <a:schemeClr val="lt1"/>
    </a:solidFill>
    <a:ln w="12700" cap="flat" cmpd="sng" algn="ctr">
      <a:solidFill>
        <a:schemeClr val="bg2">
          <a:lumMod val="25000"/>
        </a:schemeClr>
      </a:solidFill>
      <a:prstDash val="solid"/>
      <a:miter lim="800000"/>
    </a:ln>
    <a:effectLst/>
  </c:spPr>
  <c:txPr>
    <a:bodyPr/>
    <a:lstStyle/>
    <a:p>
      <a:pPr>
        <a:defRPr>
          <a:solidFill>
            <a:schemeClr val="dk1"/>
          </a:solidFill>
          <a:latin typeface="+mn-lt"/>
          <a:ea typeface="+mn-ea"/>
          <a:cs typeface="+mn-cs"/>
        </a:defRPr>
      </a:pPr>
      <a:endParaRPr lang="en-US"/>
    </a:p>
  </c:txPr>
  <c:printSettings>
    <c:headerFooter/>
    <c:pageMargins b="0.75" l="0.7" r="0.7" t="0.75" header="0.3" footer="0.3"/>
    <c:pageSetup/>
  </c:printSettings>
  <c:userShapes r:id="rId3"/>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4381838633807134E-3"/>
          <c:y val="0.31083198937482209"/>
          <c:w val="0.53341908661417325"/>
          <c:h val="0.61020111943838351"/>
        </c:manualLayout>
      </c:layout>
      <c:barChart>
        <c:barDir val="bar"/>
        <c:grouping val="stacked"/>
        <c:varyColors val="0"/>
        <c:ser>
          <c:idx val="0"/>
          <c:order val="0"/>
          <c:spPr>
            <a:solidFill>
              <a:schemeClr val="accent5">
                <a:lumMod val="75000"/>
              </a:schemeClr>
            </a:solidFill>
            <a:ln>
              <a:noFill/>
            </a:ln>
            <a:effectLst/>
          </c:spPr>
          <c:invertIfNegative val="0"/>
          <c:cat>
            <c:strRef>
              <c:f>Sheet5!$C$5:$C$9</c:f>
              <c:strCache>
                <c:ptCount val="5"/>
                <c:pt idx="0">
                  <c:v>1 Diabetes review recorded or proxy 12m</c:v>
                </c:pt>
                <c:pt idx="1">
                  <c:v>3 Triple target achieved</c:v>
                </c:pt>
                <c:pt idx="2">
                  <c:v>8 Asthma review coded or proxy(inhaler technique) 12m</c:v>
                </c:pt>
                <c:pt idx="3">
                  <c:v>11 ACT recorded</c:v>
                </c:pt>
                <c:pt idx="4">
                  <c:v>12 off target with clinical review(2)</c:v>
                </c:pt>
              </c:strCache>
            </c:strRef>
          </c:cat>
          <c:val>
            <c:numRef>
              <c:f>Sheet5!$G$5:$G$9</c:f>
              <c:numCache>
                <c:formatCode>0.0%</c:formatCode>
                <c:ptCount val="5"/>
                <c:pt idx="0">
                  <c:v>0.69559373539036928</c:v>
                </c:pt>
                <c:pt idx="1">
                  <c:v>0.14355161567057478</c:v>
                </c:pt>
                <c:pt idx="2">
                  <c:v>0.69250470809792841</c:v>
                </c:pt>
                <c:pt idx="3">
                  <c:v>0.95996954204285867</c:v>
                </c:pt>
                <c:pt idx="4">
                  <c:v>0.3800873362445415</c:v>
                </c:pt>
              </c:numCache>
            </c:numRef>
          </c:val>
          <c:extLst>
            <c:ext xmlns:c16="http://schemas.microsoft.com/office/drawing/2014/chart" uri="{C3380CC4-5D6E-409C-BE32-E72D297353CC}">
              <c16:uniqueId val="{00000002-E3D8-4879-8E2F-7D9F1243C1AA}"/>
            </c:ext>
          </c:extLst>
        </c:ser>
        <c:ser>
          <c:idx val="1"/>
          <c:order val="1"/>
          <c:spPr>
            <a:solidFill>
              <a:schemeClr val="bg1">
                <a:lumMod val="95000"/>
              </a:schemeClr>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dk1"/>
                    </a:solidFill>
                    <a:latin typeface="+mn-lt"/>
                    <a:ea typeface="+mn-ea"/>
                    <a:cs typeface="+mn-cs"/>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Sheet5!$C$5:$C$9</c:f>
              <c:strCache>
                <c:ptCount val="5"/>
                <c:pt idx="0">
                  <c:v>1 Diabetes review recorded or proxy 12m</c:v>
                </c:pt>
                <c:pt idx="1">
                  <c:v>3 Triple target achieved</c:v>
                </c:pt>
                <c:pt idx="2">
                  <c:v>8 Asthma review coded or proxy(inhaler technique) 12m</c:v>
                </c:pt>
                <c:pt idx="3">
                  <c:v>11 ACT recorded</c:v>
                </c:pt>
                <c:pt idx="4">
                  <c:v>12 off target with clinical review(2)</c:v>
                </c:pt>
              </c:strCache>
            </c:strRef>
          </c:cat>
          <c:val>
            <c:numRef>
              <c:f>Sheet5!$H$5:$H$9</c:f>
              <c:numCache>
                <c:formatCode>0.0%</c:formatCode>
                <c:ptCount val="5"/>
                <c:pt idx="0">
                  <c:v>0.30440626460963072</c:v>
                </c:pt>
                <c:pt idx="1">
                  <c:v>0.85644838432942527</c:v>
                </c:pt>
                <c:pt idx="2">
                  <c:v>0.30749529190207159</c:v>
                </c:pt>
                <c:pt idx="3">
                  <c:v>4.003045795714133E-2</c:v>
                </c:pt>
                <c:pt idx="4">
                  <c:v>0.6199126637554585</c:v>
                </c:pt>
              </c:numCache>
            </c:numRef>
          </c:val>
          <c:extLst>
            <c:ext xmlns:c16="http://schemas.microsoft.com/office/drawing/2014/chart" uri="{C3380CC4-5D6E-409C-BE32-E72D297353CC}">
              <c16:uniqueId val="{00000003-E3D8-4879-8E2F-7D9F1243C1AA}"/>
            </c:ext>
          </c:extLst>
        </c:ser>
        <c:dLbls>
          <c:showLegendKey val="0"/>
          <c:showVal val="0"/>
          <c:showCatName val="0"/>
          <c:showSerName val="0"/>
          <c:showPercent val="0"/>
          <c:showBubbleSize val="0"/>
        </c:dLbls>
        <c:gapWidth val="150"/>
        <c:overlap val="100"/>
        <c:axId val="1276030303"/>
        <c:axId val="1276030719"/>
      </c:barChart>
      <c:catAx>
        <c:axId val="1276030303"/>
        <c:scaling>
          <c:orientation val="minMax"/>
        </c:scaling>
        <c:delete val="1"/>
        <c:axPos val="l"/>
        <c:numFmt formatCode="General" sourceLinked="1"/>
        <c:majorTickMark val="none"/>
        <c:minorTickMark val="none"/>
        <c:tickLblPos val="low"/>
        <c:crossAx val="1276030719"/>
        <c:crosses val="autoZero"/>
        <c:auto val="1"/>
        <c:lblAlgn val="ctr"/>
        <c:lblOffset val="100"/>
        <c:noMultiLvlLbl val="0"/>
      </c:catAx>
      <c:valAx>
        <c:axId val="1276030719"/>
        <c:scaling>
          <c:orientation val="minMax"/>
        </c:scaling>
        <c:delete val="1"/>
        <c:axPos val="b"/>
        <c:numFmt formatCode="0.0%" sourceLinked="1"/>
        <c:majorTickMark val="none"/>
        <c:minorTickMark val="none"/>
        <c:tickLblPos val="nextTo"/>
        <c:crossAx val="1276030303"/>
        <c:crosses val="autoZero"/>
        <c:crossBetween val="between"/>
      </c:valAx>
      <c:spPr>
        <a:solidFill>
          <a:schemeClr val="lt1"/>
        </a:solidFill>
        <a:ln w="12700" cap="flat" cmpd="sng" algn="ctr">
          <a:solidFill>
            <a:schemeClr val="dk1"/>
          </a:solidFill>
          <a:prstDash val="solid"/>
          <a:miter lim="800000"/>
        </a:ln>
        <a:effectLst/>
      </c:spPr>
    </c:plotArea>
    <c:plotVisOnly val="1"/>
    <c:dispBlanksAs val="gap"/>
    <c:showDLblsOverMax val="0"/>
  </c:chart>
  <c:spPr>
    <a:solidFill>
      <a:schemeClr val="lt1"/>
    </a:solidFill>
    <a:ln w="12700" cap="flat" cmpd="sng" algn="ctr">
      <a:solidFill>
        <a:schemeClr val="dk1"/>
      </a:solidFill>
      <a:prstDash val="solid"/>
      <a:miter lim="800000"/>
    </a:ln>
    <a:effectLst/>
  </c:spPr>
  <c:txPr>
    <a:bodyPr/>
    <a:lstStyle/>
    <a:p>
      <a:pPr>
        <a:defRPr>
          <a:solidFill>
            <a:schemeClr val="dk1"/>
          </a:solidFill>
          <a:latin typeface="+mn-lt"/>
          <a:ea typeface="+mn-ea"/>
          <a:cs typeface="+mn-cs"/>
        </a:defRPr>
      </a:pPr>
      <a:endParaRPr lang="en-US"/>
    </a:p>
  </c:txPr>
  <c:printSettings>
    <c:headerFooter/>
    <c:pageMargins b="0.75" l="0.7" r="0.7" t="0.75" header="0.3" footer="0.3"/>
    <c:pageSetup/>
  </c:printSettings>
  <c:userShapes r:id="rId3"/>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Monthly cumulative figure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7.1641910360840735E-2"/>
          <c:y val="0.20629016053124916"/>
          <c:w val="0.91192401851715799"/>
          <c:h val="0.67348709830939835"/>
        </c:manualLayout>
      </c:layout>
      <c:lineChart>
        <c:grouping val="standard"/>
        <c:varyColors val="0"/>
        <c:ser>
          <c:idx val="0"/>
          <c:order val="0"/>
          <c:tx>
            <c:strRef>
              <c:f>Sheet5!$C$22</c:f>
              <c:strCache>
                <c:ptCount val="1"/>
                <c:pt idx="0">
                  <c:v>1 Diabetes review recorded or proxy 12m</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numRef>
              <c:f>Sheet5!$D$21:$J$21</c:f>
              <c:numCache>
                <c:formatCode>m/d/yyyy</c:formatCode>
                <c:ptCount val="7"/>
                <c:pt idx="0">
                  <c:v>44287</c:v>
                </c:pt>
                <c:pt idx="1">
                  <c:v>44317</c:v>
                </c:pt>
                <c:pt idx="2">
                  <c:v>44348</c:v>
                </c:pt>
                <c:pt idx="3">
                  <c:v>44378</c:v>
                </c:pt>
                <c:pt idx="4">
                  <c:v>44409</c:v>
                </c:pt>
                <c:pt idx="5">
                  <c:v>44440</c:v>
                </c:pt>
                <c:pt idx="6">
                  <c:v>44470</c:v>
                </c:pt>
              </c:numCache>
            </c:numRef>
          </c:cat>
          <c:val>
            <c:numRef>
              <c:f>Sheet5!$D$22:$J$22</c:f>
              <c:numCache>
                <c:formatCode>0.0%</c:formatCode>
                <c:ptCount val="7"/>
                <c:pt idx="0">
                  <c:v>0.59944751381215466</c:v>
                </c:pt>
                <c:pt idx="1">
                  <c:v>#N/A</c:v>
                </c:pt>
                <c:pt idx="2">
                  <c:v>#N/A</c:v>
                </c:pt>
                <c:pt idx="3">
                  <c:v>0.7325905292479109</c:v>
                </c:pt>
                <c:pt idx="4">
                  <c:v>0.78116343490304707</c:v>
                </c:pt>
                <c:pt idx="5">
                  <c:v>0.74861878453038677</c:v>
                </c:pt>
                <c:pt idx="6">
                  <c:v>0.72876712328767124</c:v>
                </c:pt>
              </c:numCache>
            </c:numRef>
          </c:val>
          <c:smooth val="0"/>
          <c:extLst>
            <c:ext xmlns:c16="http://schemas.microsoft.com/office/drawing/2014/chart" uri="{C3380CC4-5D6E-409C-BE32-E72D297353CC}">
              <c16:uniqueId val="{00000000-A049-4B54-BC1D-BF151729EC28}"/>
            </c:ext>
          </c:extLst>
        </c:ser>
        <c:ser>
          <c:idx val="1"/>
          <c:order val="1"/>
          <c:tx>
            <c:strRef>
              <c:f>Sheet5!$C$23</c:f>
              <c:strCache>
                <c:ptCount val="1"/>
                <c:pt idx="0">
                  <c:v>3 Triple target achieved</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cat>
            <c:numRef>
              <c:f>Sheet5!$D$21:$J$21</c:f>
              <c:numCache>
                <c:formatCode>m/d/yyyy</c:formatCode>
                <c:ptCount val="7"/>
                <c:pt idx="0">
                  <c:v>44287</c:v>
                </c:pt>
                <c:pt idx="1">
                  <c:v>44317</c:v>
                </c:pt>
                <c:pt idx="2">
                  <c:v>44348</c:v>
                </c:pt>
                <c:pt idx="3">
                  <c:v>44378</c:v>
                </c:pt>
                <c:pt idx="4">
                  <c:v>44409</c:v>
                </c:pt>
                <c:pt idx="5">
                  <c:v>44440</c:v>
                </c:pt>
                <c:pt idx="6">
                  <c:v>44470</c:v>
                </c:pt>
              </c:numCache>
            </c:numRef>
          </c:cat>
          <c:val>
            <c:numRef>
              <c:f>Sheet5!$D$23:$J$23</c:f>
              <c:numCache>
                <c:formatCode>0.0%</c:formatCode>
                <c:ptCount val="7"/>
                <c:pt idx="0">
                  <c:v>0</c:v>
                </c:pt>
                <c:pt idx="1">
                  <c:v>#N/A</c:v>
                </c:pt>
                <c:pt idx="2">
                  <c:v>#N/A</c:v>
                </c:pt>
                <c:pt idx="3">
                  <c:v>0.14828897338403041</c:v>
                </c:pt>
                <c:pt idx="4">
                  <c:v>0.16603773584905659</c:v>
                </c:pt>
                <c:pt idx="5">
                  <c:v>0.17735849056603772</c:v>
                </c:pt>
                <c:pt idx="6">
                  <c:v>0.15209125475285171</c:v>
                </c:pt>
              </c:numCache>
            </c:numRef>
          </c:val>
          <c:smooth val="0"/>
          <c:extLst>
            <c:ext xmlns:c16="http://schemas.microsoft.com/office/drawing/2014/chart" uri="{C3380CC4-5D6E-409C-BE32-E72D297353CC}">
              <c16:uniqueId val="{00000001-A049-4B54-BC1D-BF151729EC28}"/>
            </c:ext>
          </c:extLst>
        </c:ser>
        <c:ser>
          <c:idx val="2"/>
          <c:order val="2"/>
          <c:tx>
            <c:strRef>
              <c:f>Sheet5!$C$25</c:f>
              <c:strCache>
                <c:ptCount val="1"/>
                <c:pt idx="0">
                  <c:v>11 ACT recorded</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cat>
            <c:numRef>
              <c:f>Sheet5!$D$21:$J$21</c:f>
              <c:numCache>
                <c:formatCode>m/d/yyyy</c:formatCode>
                <c:ptCount val="7"/>
                <c:pt idx="0">
                  <c:v>44287</c:v>
                </c:pt>
                <c:pt idx="1">
                  <c:v>44317</c:v>
                </c:pt>
                <c:pt idx="2">
                  <c:v>44348</c:v>
                </c:pt>
                <c:pt idx="3">
                  <c:v>44378</c:v>
                </c:pt>
                <c:pt idx="4">
                  <c:v>44409</c:v>
                </c:pt>
                <c:pt idx="5">
                  <c:v>44440</c:v>
                </c:pt>
                <c:pt idx="6">
                  <c:v>44470</c:v>
                </c:pt>
              </c:numCache>
            </c:numRef>
          </c:cat>
          <c:val>
            <c:numRef>
              <c:f>Sheet5!$D$25:$J$25</c:f>
              <c:numCache>
                <c:formatCode>0.0%</c:formatCode>
                <c:ptCount val="7"/>
                <c:pt idx="0">
                  <c:v>0.9072847682119205</c:v>
                </c:pt>
                <c:pt idx="1">
                  <c:v>#N/A</c:v>
                </c:pt>
                <c:pt idx="2">
                  <c:v>#N/A</c:v>
                </c:pt>
                <c:pt idx="3">
                  <c:v>0.92715231788079466</c:v>
                </c:pt>
                <c:pt idx="4">
                  <c:v>0.92715231788079466</c:v>
                </c:pt>
                <c:pt idx="5">
                  <c:v>0.9375</c:v>
                </c:pt>
                <c:pt idx="6">
                  <c:v>0.98611111111111116</c:v>
                </c:pt>
              </c:numCache>
            </c:numRef>
          </c:val>
          <c:smooth val="0"/>
          <c:extLst>
            <c:ext xmlns:c16="http://schemas.microsoft.com/office/drawing/2014/chart" uri="{C3380CC4-5D6E-409C-BE32-E72D297353CC}">
              <c16:uniqueId val="{00000002-A049-4B54-BC1D-BF151729EC28}"/>
            </c:ext>
          </c:extLst>
        </c:ser>
        <c:ser>
          <c:idx val="3"/>
          <c:order val="3"/>
          <c:tx>
            <c:strRef>
              <c:f>Sheet5!$C$26</c:f>
              <c:strCache>
                <c:ptCount val="1"/>
                <c:pt idx="0">
                  <c:v>12 off target with clinical review(2)</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cat>
            <c:numRef>
              <c:f>Sheet5!$D$21:$J$21</c:f>
              <c:numCache>
                <c:formatCode>m/d/yyyy</c:formatCode>
                <c:ptCount val="7"/>
                <c:pt idx="0">
                  <c:v>44287</c:v>
                </c:pt>
                <c:pt idx="1">
                  <c:v>44317</c:v>
                </c:pt>
                <c:pt idx="2">
                  <c:v>44348</c:v>
                </c:pt>
                <c:pt idx="3">
                  <c:v>44378</c:v>
                </c:pt>
                <c:pt idx="4">
                  <c:v>44409</c:v>
                </c:pt>
                <c:pt idx="5">
                  <c:v>44440</c:v>
                </c:pt>
                <c:pt idx="6">
                  <c:v>44470</c:v>
                </c:pt>
              </c:numCache>
            </c:numRef>
          </c:cat>
          <c:val>
            <c:numRef>
              <c:f>Sheet5!$D$26:$J$26</c:f>
              <c:numCache>
                <c:formatCode>0.0%</c:formatCode>
                <c:ptCount val="7"/>
                <c:pt idx="0">
                  <c:v>0.74714518760195758</c:v>
                </c:pt>
                <c:pt idx="1">
                  <c:v>#N/A</c:v>
                </c:pt>
                <c:pt idx="2">
                  <c:v>#N/A</c:v>
                </c:pt>
                <c:pt idx="3">
                  <c:v>0.70610687022900764</c:v>
                </c:pt>
                <c:pt idx="4">
                  <c:v>0.70476190476190481</c:v>
                </c:pt>
                <c:pt idx="5">
                  <c:v>0.69083969465648853</c:v>
                </c:pt>
                <c:pt idx="6">
                  <c:v>0.64849624060150379</c:v>
                </c:pt>
              </c:numCache>
            </c:numRef>
          </c:val>
          <c:smooth val="0"/>
          <c:extLst>
            <c:ext xmlns:c16="http://schemas.microsoft.com/office/drawing/2014/chart" uri="{C3380CC4-5D6E-409C-BE32-E72D297353CC}">
              <c16:uniqueId val="{00000003-A049-4B54-BC1D-BF151729EC28}"/>
            </c:ext>
          </c:extLst>
        </c:ser>
        <c:dLbls>
          <c:showLegendKey val="0"/>
          <c:showVal val="0"/>
          <c:showCatName val="0"/>
          <c:showSerName val="0"/>
          <c:showPercent val="0"/>
          <c:showBubbleSize val="0"/>
        </c:dLbls>
        <c:marker val="1"/>
        <c:smooth val="0"/>
        <c:axId val="278890687"/>
        <c:axId val="278899007"/>
      </c:lineChart>
      <c:dateAx>
        <c:axId val="278890687"/>
        <c:scaling>
          <c:orientation val="minMax"/>
        </c:scaling>
        <c:delete val="0"/>
        <c:axPos val="b"/>
        <c:numFmt formatCode="m/d/yyyy" sourceLinked="1"/>
        <c:majorTickMark val="out"/>
        <c:minorTickMark val="in"/>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78899007"/>
        <c:crosses val="autoZero"/>
        <c:auto val="1"/>
        <c:lblOffset val="100"/>
        <c:baseTimeUnit val="months"/>
      </c:dateAx>
      <c:valAx>
        <c:axId val="278899007"/>
        <c:scaling>
          <c:orientation val="minMax"/>
        </c:scaling>
        <c:delete val="0"/>
        <c:axPos val="l"/>
        <c:numFmt formatCode="0.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78890687"/>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r>
              <a:rPr lang="en-GB"/>
              <a:t>Monthly</a:t>
            </a:r>
            <a:r>
              <a:rPr lang="en-GB" baseline="0"/>
              <a:t> cumulative</a:t>
            </a:r>
            <a:endParaRPr lang="en-GB"/>
          </a:p>
        </c:rich>
      </c:tx>
      <c:overlay val="0"/>
      <c:spPr>
        <a:noFill/>
        <a:ln>
          <a:noFill/>
        </a:ln>
        <a:effectLst/>
      </c:spPr>
      <c:txPr>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endParaRPr lang="en-US"/>
        </a:p>
      </c:txPr>
    </c:title>
    <c:autoTitleDeleted val="0"/>
    <c:plotArea>
      <c:layout/>
      <c:lineChart>
        <c:grouping val="standard"/>
        <c:varyColors val="0"/>
        <c:ser>
          <c:idx val="0"/>
          <c:order val="0"/>
          <c:tx>
            <c:strRef>
              <c:f>Sheet5!$C$22</c:f>
              <c:strCache>
                <c:ptCount val="1"/>
                <c:pt idx="0">
                  <c:v>1 Diabetes review recorded or proxy 12m</c:v>
                </c:pt>
              </c:strCache>
            </c:strRef>
          </c:tx>
          <c:spPr>
            <a:ln w="31750" cap="rnd">
              <a:solidFill>
                <a:schemeClr val="accent1"/>
              </a:solidFill>
              <a:round/>
            </a:ln>
            <a:effectLst/>
          </c:spPr>
          <c:marker>
            <c:symbol val="circle"/>
            <c:size val="17"/>
            <c:spPr>
              <a:solidFill>
                <a:schemeClr val="accent1"/>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Sheet5!$D$21:$J$21</c:f>
              <c:numCache>
                <c:formatCode>m/d/yyyy</c:formatCode>
                <c:ptCount val="7"/>
                <c:pt idx="0">
                  <c:v>44287</c:v>
                </c:pt>
                <c:pt idx="1">
                  <c:v>44317</c:v>
                </c:pt>
                <c:pt idx="2">
                  <c:v>44348</c:v>
                </c:pt>
                <c:pt idx="3">
                  <c:v>44378</c:v>
                </c:pt>
                <c:pt idx="4">
                  <c:v>44409</c:v>
                </c:pt>
                <c:pt idx="5">
                  <c:v>44440</c:v>
                </c:pt>
                <c:pt idx="6">
                  <c:v>44470</c:v>
                </c:pt>
              </c:numCache>
            </c:numRef>
          </c:cat>
          <c:val>
            <c:numRef>
              <c:f>Sheet5!$D$22:$J$22</c:f>
              <c:numCache>
                <c:formatCode>0.0%</c:formatCode>
                <c:ptCount val="7"/>
                <c:pt idx="0">
                  <c:v>0.59944751381215466</c:v>
                </c:pt>
                <c:pt idx="1">
                  <c:v>#N/A</c:v>
                </c:pt>
                <c:pt idx="2">
                  <c:v>#N/A</c:v>
                </c:pt>
                <c:pt idx="3">
                  <c:v>0.7325905292479109</c:v>
                </c:pt>
                <c:pt idx="4">
                  <c:v>0.78116343490304707</c:v>
                </c:pt>
                <c:pt idx="5">
                  <c:v>0.74861878453038677</c:v>
                </c:pt>
                <c:pt idx="6">
                  <c:v>0.72876712328767124</c:v>
                </c:pt>
              </c:numCache>
            </c:numRef>
          </c:val>
          <c:smooth val="0"/>
          <c:extLst>
            <c:ext xmlns:c16="http://schemas.microsoft.com/office/drawing/2014/chart" uri="{C3380CC4-5D6E-409C-BE32-E72D297353CC}">
              <c16:uniqueId val="{00000000-E614-435A-9A94-BC1573789D81}"/>
            </c:ext>
          </c:extLst>
        </c:ser>
        <c:ser>
          <c:idx val="1"/>
          <c:order val="1"/>
          <c:tx>
            <c:strRef>
              <c:f>Sheet5!$C$23</c:f>
              <c:strCache>
                <c:ptCount val="1"/>
                <c:pt idx="0">
                  <c:v>3 Triple target achieved</c:v>
                </c:pt>
              </c:strCache>
            </c:strRef>
          </c:tx>
          <c:spPr>
            <a:ln w="31750" cap="rnd">
              <a:solidFill>
                <a:schemeClr val="accent2"/>
              </a:solidFill>
              <a:round/>
            </a:ln>
            <a:effectLst/>
          </c:spPr>
          <c:marker>
            <c:symbol val="circle"/>
            <c:size val="17"/>
            <c:spPr>
              <a:solidFill>
                <a:schemeClr val="accent2"/>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Sheet5!$D$21:$J$21</c:f>
              <c:numCache>
                <c:formatCode>m/d/yyyy</c:formatCode>
                <c:ptCount val="7"/>
                <c:pt idx="0">
                  <c:v>44287</c:v>
                </c:pt>
                <c:pt idx="1">
                  <c:v>44317</c:v>
                </c:pt>
                <c:pt idx="2">
                  <c:v>44348</c:v>
                </c:pt>
                <c:pt idx="3">
                  <c:v>44378</c:v>
                </c:pt>
                <c:pt idx="4">
                  <c:v>44409</c:v>
                </c:pt>
                <c:pt idx="5">
                  <c:v>44440</c:v>
                </c:pt>
                <c:pt idx="6">
                  <c:v>44470</c:v>
                </c:pt>
              </c:numCache>
            </c:numRef>
          </c:cat>
          <c:val>
            <c:numRef>
              <c:f>Sheet5!$D$23:$J$23</c:f>
              <c:numCache>
                <c:formatCode>0.0%</c:formatCode>
                <c:ptCount val="7"/>
                <c:pt idx="0">
                  <c:v>0</c:v>
                </c:pt>
                <c:pt idx="1">
                  <c:v>#N/A</c:v>
                </c:pt>
                <c:pt idx="2">
                  <c:v>#N/A</c:v>
                </c:pt>
                <c:pt idx="3">
                  <c:v>0.14828897338403041</c:v>
                </c:pt>
                <c:pt idx="4">
                  <c:v>0.16603773584905659</c:v>
                </c:pt>
                <c:pt idx="5">
                  <c:v>0.17735849056603772</c:v>
                </c:pt>
                <c:pt idx="6">
                  <c:v>0.15209125475285171</c:v>
                </c:pt>
              </c:numCache>
            </c:numRef>
          </c:val>
          <c:smooth val="0"/>
          <c:extLst>
            <c:ext xmlns:c16="http://schemas.microsoft.com/office/drawing/2014/chart" uri="{C3380CC4-5D6E-409C-BE32-E72D297353CC}">
              <c16:uniqueId val="{00000001-E614-435A-9A94-BC1573789D81}"/>
            </c:ext>
          </c:extLst>
        </c:ser>
        <c:ser>
          <c:idx val="2"/>
          <c:order val="2"/>
          <c:tx>
            <c:strRef>
              <c:f>Sheet5!$C$25</c:f>
              <c:strCache>
                <c:ptCount val="1"/>
                <c:pt idx="0">
                  <c:v>11 ACT recorded</c:v>
                </c:pt>
              </c:strCache>
            </c:strRef>
          </c:tx>
          <c:spPr>
            <a:ln w="31750" cap="rnd">
              <a:solidFill>
                <a:schemeClr val="accent3"/>
              </a:solidFill>
              <a:round/>
            </a:ln>
            <a:effectLst/>
          </c:spPr>
          <c:marker>
            <c:symbol val="circle"/>
            <c:size val="17"/>
            <c:spPr>
              <a:solidFill>
                <a:schemeClr val="accent3"/>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2">
                        <a:lumMod val="1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Sheet5!$D$21:$J$21</c:f>
              <c:numCache>
                <c:formatCode>m/d/yyyy</c:formatCode>
                <c:ptCount val="7"/>
                <c:pt idx="0">
                  <c:v>44287</c:v>
                </c:pt>
                <c:pt idx="1">
                  <c:v>44317</c:v>
                </c:pt>
                <c:pt idx="2">
                  <c:v>44348</c:v>
                </c:pt>
                <c:pt idx="3">
                  <c:v>44378</c:v>
                </c:pt>
                <c:pt idx="4">
                  <c:v>44409</c:v>
                </c:pt>
                <c:pt idx="5">
                  <c:v>44440</c:v>
                </c:pt>
                <c:pt idx="6">
                  <c:v>44470</c:v>
                </c:pt>
              </c:numCache>
            </c:numRef>
          </c:cat>
          <c:val>
            <c:numRef>
              <c:f>Sheet5!$D$25:$J$25</c:f>
              <c:numCache>
                <c:formatCode>0.0%</c:formatCode>
                <c:ptCount val="7"/>
                <c:pt idx="0">
                  <c:v>0.9072847682119205</c:v>
                </c:pt>
                <c:pt idx="1">
                  <c:v>#N/A</c:v>
                </c:pt>
                <c:pt idx="2">
                  <c:v>#N/A</c:v>
                </c:pt>
                <c:pt idx="3">
                  <c:v>0.92715231788079466</c:v>
                </c:pt>
                <c:pt idx="4">
                  <c:v>0.92715231788079466</c:v>
                </c:pt>
                <c:pt idx="5">
                  <c:v>0.9375</c:v>
                </c:pt>
                <c:pt idx="6">
                  <c:v>0.98611111111111116</c:v>
                </c:pt>
              </c:numCache>
            </c:numRef>
          </c:val>
          <c:smooth val="0"/>
          <c:extLst>
            <c:ext xmlns:c16="http://schemas.microsoft.com/office/drawing/2014/chart" uri="{C3380CC4-5D6E-409C-BE32-E72D297353CC}">
              <c16:uniqueId val="{00000002-E614-435A-9A94-BC1573789D81}"/>
            </c:ext>
          </c:extLst>
        </c:ser>
        <c:ser>
          <c:idx val="3"/>
          <c:order val="3"/>
          <c:tx>
            <c:strRef>
              <c:f>Sheet5!$C$26</c:f>
              <c:strCache>
                <c:ptCount val="1"/>
                <c:pt idx="0">
                  <c:v>12 off target with clinical review(2)</c:v>
                </c:pt>
              </c:strCache>
            </c:strRef>
          </c:tx>
          <c:spPr>
            <a:ln w="31750" cap="rnd">
              <a:solidFill>
                <a:schemeClr val="accent4"/>
              </a:solidFill>
              <a:round/>
            </a:ln>
            <a:effectLst/>
          </c:spPr>
          <c:marker>
            <c:symbol val="circle"/>
            <c:size val="17"/>
            <c:spPr>
              <a:solidFill>
                <a:schemeClr val="accent4"/>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accent6">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Sheet5!$D$21:$J$21</c:f>
              <c:numCache>
                <c:formatCode>m/d/yyyy</c:formatCode>
                <c:ptCount val="7"/>
                <c:pt idx="0">
                  <c:v>44287</c:v>
                </c:pt>
                <c:pt idx="1">
                  <c:v>44317</c:v>
                </c:pt>
                <c:pt idx="2">
                  <c:v>44348</c:v>
                </c:pt>
                <c:pt idx="3">
                  <c:v>44378</c:v>
                </c:pt>
                <c:pt idx="4">
                  <c:v>44409</c:v>
                </c:pt>
                <c:pt idx="5">
                  <c:v>44440</c:v>
                </c:pt>
                <c:pt idx="6">
                  <c:v>44470</c:v>
                </c:pt>
              </c:numCache>
            </c:numRef>
          </c:cat>
          <c:val>
            <c:numRef>
              <c:f>Sheet5!$D$26:$J$26</c:f>
              <c:numCache>
                <c:formatCode>0.0%</c:formatCode>
                <c:ptCount val="7"/>
                <c:pt idx="0">
                  <c:v>0.74714518760195758</c:v>
                </c:pt>
                <c:pt idx="1">
                  <c:v>#N/A</c:v>
                </c:pt>
                <c:pt idx="2">
                  <c:v>#N/A</c:v>
                </c:pt>
                <c:pt idx="3">
                  <c:v>0.70610687022900764</c:v>
                </c:pt>
                <c:pt idx="4">
                  <c:v>0.70476190476190481</c:v>
                </c:pt>
                <c:pt idx="5">
                  <c:v>0.69083969465648853</c:v>
                </c:pt>
                <c:pt idx="6">
                  <c:v>0.64849624060150379</c:v>
                </c:pt>
              </c:numCache>
            </c:numRef>
          </c:val>
          <c:smooth val="0"/>
          <c:extLst>
            <c:ext xmlns:c16="http://schemas.microsoft.com/office/drawing/2014/chart" uri="{C3380CC4-5D6E-409C-BE32-E72D297353CC}">
              <c16:uniqueId val="{00000003-E614-435A-9A94-BC1573789D81}"/>
            </c:ext>
          </c:extLst>
        </c:ser>
        <c:dLbls>
          <c:dLblPos val="ctr"/>
          <c:showLegendKey val="0"/>
          <c:showVal val="1"/>
          <c:showCatName val="0"/>
          <c:showSerName val="0"/>
          <c:showPercent val="0"/>
          <c:showBubbleSize val="0"/>
        </c:dLbls>
        <c:marker val="1"/>
        <c:smooth val="0"/>
        <c:axId val="1274246175"/>
        <c:axId val="1274242431"/>
      </c:lineChart>
      <c:dateAx>
        <c:axId val="1274246175"/>
        <c:scaling>
          <c:orientation val="minMax"/>
        </c:scaling>
        <c:delete val="0"/>
        <c:axPos val="b"/>
        <c:numFmt formatCode="m/d/yyyy" sourceLinked="1"/>
        <c:majorTickMark val="out"/>
        <c:minorTickMark val="none"/>
        <c:tickLblPos val="nextTo"/>
        <c:spPr>
          <a:noFill/>
          <a:ln w="19050" cap="flat" cmpd="sng" algn="ctr">
            <a:solidFill>
              <a:schemeClr val="dk1">
                <a:lumMod val="75000"/>
                <a:lumOff val="25000"/>
              </a:schemeClr>
            </a:solidFill>
            <a:round/>
          </a:ln>
          <a:effectLst/>
        </c:spPr>
        <c:txPr>
          <a:bodyPr rot="-60000000" spcFirstLastPara="1" vertOverflow="ellipsis" vert="horz" wrap="square" anchor="ctr" anchorCtr="1"/>
          <a:lstStyle/>
          <a:p>
            <a:pPr>
              <a:defRPr sz="900" b="0" i="0" u="none" strike="noStrike" kern="1200" cap="all" baseline="0">
                <a:solidFill>
                  <a:schemeClr val="dk1">
                    <a:lumMod val="75000"/>
                    <a:lumOff val="25000"/>
                  </a:schemeClr>
                </a:solidFill>
                <a:latin typeface="+mn-lt"/>
                <a:ea typeface="+mn-ea"/>
                <a:cs typeface="+mn-cs"/>
              </a:defRPr>
            </a:pPr>
            <a:endParaRPr lang="en-US"/>
          </a:p>
        </c:txPr>
        <c:crossAx val="1274242431"/>
        <c:crosses val="autoZero"/>
        <c:auto val="1"/>
        <c:lblOffset val="100"/>
        <c:baseTimeUnit val="months"/>
      </c:dateAx>
      <c:valAx>
        <c:axId val="1274242431"/>
        <c:scaling>
          <c:orientation val="minMax"/>
        </c:scaling>
        <c:delete val="0"/>
        <c:axPos val="l"/>
        <c:numFmt formatCode="0.0%" sourceLinked="1"/>
        <c:majorTickMark val="out"/>
        <c:minorTickMark val="out"/>
        <c:tickLblPos val="nextTo"/>
        <c:spPr>
          <a:noFill/>
          <a:ln w="12700">
            <a:solidFill>
              <a:schemeClr val="accent1"/>
            </a:solidFill>
          </a:ln>
          <a:effectLst/>
        </c:spPr>
        <c:txPr>
          <a:bodyPr rot="-6000000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en-US"/>
          </a:p>
        </c:txPr>
        <c:crossAx val="1274246175"/>
        <c:crosses val="autoZero"/>
        <c:crossBetween val="between"/>
      </c:valAx>
      <c:spPr>
        <a:solidFill>
          <a:schemeClr val="bg1">
            <a:lumMod val="85000"/>
          </a:schemeClr>
        </a:solidFill>
        <a:ln>
          <a:noFill/>
        </a:ln>
        <a:effectLst/>
      </c:spPr>
    </c:plotArea>
    <c:legend>
      <c:legendPos val="b"/>
      <c:overlay val="0"/>
      <c:spPr>
        <a:solidFill>
          <a:schemeClr val="lt1">
            <a:lumMod val="95000"/>
            <a:alpha val="39000"/>
          </a:schemeClr>
        </a:solidFill>
        <a:ln>
          <a:noFill/>
        </a:ln>
        <a:effectLst/>
      </c:spPr>
      <c:txPr>
        <a:bodyPr rot="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en-US"/>
        </a:p>
      </c:txPr>
    </c:legend>
    <c:plotVisOnly val="1"/>
    <c:dispBlanksAs val="gap"/>
    <c:showDLblsOverMax val="0"/>
  </c:chart>
  <c:spPr>
    <a:solidFill>
      <a:schemeClr val="bg1">
        <a:lumMod val="85000"/>
      </a:schemeClr>
    </a:solidFill>
    <a:ln w="9525" cap="flat" cmpd="sng" algn="ctr">
      <a:solidFill>
        <a:schemeClr val="dk1">
          <a:lumMod val="25000"/>
          <a:lumOff val="75000"/>
        </a:schemeClr>
      </a:solidFill>
      <a:round/>
    </a:ln>
    <a:effectLst/>
  </c:spPr>
  <c:txPr>
    <a:bodyPr/>
    <a:lstStyle/>
    <a:p>
      <a:pPr>
        <a:defRPr/>
      </a:pPr>
      <a:endParaRPr lang="en-U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6.3605519580073988E-2"/>
          <c:y val="0.1788228185924908"/>
          <c:w val="0.91178731863683593"/>
          <c:h val="0.73791834376309118"/>
        </c:manualLayout>
      </c:layout>
      <c:lineChart>
        <c:grouping val="standard"/>
        <c:varyColors val="0"/>
        <c:ser>
          <c:idx val="0"/>
          <c:order val="0"/>
          <c:tx>
            <c:strRef>
              <c:f>Sheet5!$C$22</c:f>
              <c:strCache>
                <c:ptCount val="1"/>
                <c:pt idx="0">
                  <c:v>1 Diabetes review recorded or proxy 12m</c:v>
                </c:pt>
              </c:strCache>
            </c:strRef>
          </c:tx>
          <c:spPr>
            <a:ln w="31750" cap="rnd">
              <a:solidFill>
                <a:schemeClr val="accent1"/>
              </a:solidFill>
              <a:round/>
            </a:ln>
            <a:effectLst/>
          </c:spPr>
          <c:marker>
            <c:symbol val="circle"/>
            <c:size val="17"/>
            <c:spPr>
              <a:solidFill>
                <a:schemeClr val="accent1"/>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Sheet5!$D$21:$J$21</c:f>
              <c:numCache>
                <c:formatCode>m/d/yyyy</c:formatCode>
                <c:ptCount val="7"/>
                <c:pt idx="0">
                  <c:v>44287</c:v>
                </c:pt>
                <c:pt idx="1">
                  <c:v>44317</c:v>
                </c:pt>
                <c:pt idx="2">
                  <c:v>44348</c:v>
                </c:pt>
                <c:pt idx="3">
                  <c:v>44378</c:v>
                </c:pt>
                <c:pt idx="4">
                  <c:v>44409</c:v>
                </c:pt>
                <c:pt idx="5">
                  <c:v>44440</c:v>
                </c:pt>
                <c:pt idx="6">
                  <c:v>44470</c:v>
                </c:pt>
              </c:numCache>
            </c:numRef>
          </c:cat>
          <c:val>
            <c:numRef>
              <c:f>Sheet5!$D$22:$J$22</c:f>
              <c:numCache>
                <c:formatCode>0.0%</c:formatCode>
                <c:ptCount val="7"/>
                <c:pt idx="0">
                  <c:v>0.59944751381215466</c:v>
                </c:pt>
                <c:pt idx="1">
                  <c:v>#N/A</c:v>
                </c:pt>
                <c:pt idx="2">
                  <c:v>#N/A</c:v>
                </c:pt>
                <c:pt idx="3">
                  <c:v>0.7325905292479109</c:v>
                </c:pt>
                <c:pt idx="4">
                  <c:v>0.78116343490304707</c:v>
                </c:pt>
                <c:pt idx="5">
                  <c:v>0.74861878453038677</c:v>
                </c:pt>
                <c:pt idx="6">
                  <c:v>0.72876712328767124</c:v>
                </c:pt>
              </c:numCache>
            </c:numRef>
          </c:val>
          <c:smooth val="0"/>
          <c:extLst>
            <c:ext xmlns:c16="http://schemas.microsoft.com/office/drawing/2014/chart" uri="{C3380CC4-5D6E-409C-BE32-E72D297353CC}">
              <c16:uniqueId val="{00000000-0D3F-4892-A675-E0779F5B63E8}"/>
            </c:ext>
          </c:extLst>
        </c:ser>
        <c:ser>
          <c:idx val="1"/>
          <c:order val="1"/>
          <c:tx>
            <c:strRef>
              <c:f>Sheet5!$C$23</c:f>
              <c:strCache>
                <c:ptCount val="1"/>
                <c:pt idx="0">
                  <c:v>3 Triple target achieved</c:v>
                </c:pt>
              </c:strCache>
            </c:strRef>
          </c:tx>
          <c:spPr>
            <a:ln w="31750" cap="rnd">
              <a:solidFill>
                <a:schemeClr val="accent2"/>
              </a:solidFill>
              <a:round/>
            </a:ln>
            <a:effectLst/>
          </c:spPr>
          <c:marker>
            <c:symbol val="circle"/>
            <c:size val="17"/>
            <c:spPr>
              <a:solidFill>
                <a:schemeClr val="accent2"/>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Sheet5!$D$21:$J$21</c:f>
              <c:numCache>
                <c:formatCode>m/d/yyyy</c:formatCode>
                <c:ptCount val="7"/>
                <c:pt idx="0">
                  <c:v>44287</c:v>
                </c:pt>
                <c:pt idx="1">
                  <c:v>44317</c:v>
                </c:pt>
                <c:pt idx="2">
                  <c:v>44348</c:v>
                </c:pt>
                <c:pt idx="3">
                  <c:v>44378</c:v>
                </c:pt>
                <c:pt idx="4">
                  <c:v>44409</c:v>
                </c:pt>
                <c:pt idx="5">
                  <c:v>44440</c:v>
                </c:pt>
                <c:pt idx="6">
                  <c:v>44470</c:v>
                </c:pt>
              </c:numCache>
            </c:numRef>
          </c:cat>
          <c:val>
            <c:numRef>
              <c:f>Sheet5!$D$23:$J$23</c:f>
              <c:numCache>
                <c:formatCode>0.0%</c:formatCode>
                <c:ptCount val="7"/>
                <c:pt idx="0">
                  <c:v>0</c:v>
                </c:pt>
                <c:pt idx="1">
                  <c:v>#N/A</c:v>
                </c:pt>
                <c:pt idx="2">
                  <c:v>#N/A</c:v>
                </c:pt>
                <c:pt idx="3">
                  <c:v>0.14828897338403041</c:v>
                </c:pt>
                <c:pt idx="4">
                  <c:v>0.16603773584905659</c:v>
                </c:pt>
                <c:pt idx="5">
                  <c:v>0.17735849056603772</c:v>
                </c:pt>
                <c:pt idx="6">
                  <c:v>0.15209125475285171</c:v>
                </c:pt>
              </c:numCache>
            </c:numRef>
          </c:val>
          <c:smooth val="0"/>
          <c:extLst>
            <c:ext xmlns:c16="http://schemas.microsoft.com/office/drawing/2014/chart" uri="{C3380CC4-5D6E-409C-BE32-E72D297353CC}">
              <c16:uniqueId val="{00000001-0D3F-4892-A675-E0779F5B63E8}"/>
            </c:ext>
          </c:extLst>
        </c:ser>
        <c:ser>
          <c:idx val="2"/>
          <c:order val="2"/>
          <c:tx>
            <c:strRef>
              <c:f>Sheet5!$C$24</c:f>
              <c:strCache>
                <c:ptCount val="1"/>
                <c:pt idx="0">
                  <c:v>8 Asthma review coded or proxy (inhaler technique) 12m</c:v>
                </c:pt>
              </c:strCache>
            </c:strRef>
          </c:tx>
          <c:spPr>
            <a:ln w="31750" cap="rnd">
              <a:solidFill>
                <a:schemeClr val="accent3"/>
              </a:solidFill>
              <a:round/>
            </a:ln>
            <a:effectLst/>
          </c:spPr>
          <c:marker>
            <c:symbol val="circle"/>
            <c:size val="17"/>
            <c:spPr>
              <a:solidFill>
                <a:schemeClr val="accent3"/>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2">
                        <a:lumMod val="1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Sheet5!$D$21:$J$21</c:f>
              <c:numCache>
                <c:formatCode>m/d/yyyy</c:formatCode>
                <c:ptCount val="7"/>
                <c:pt idx="0">
                  <c:v>44287</c:v>
                </c:pt>
                <c:pt idx="1">
                  <c:v>44317</c:v>
                </c:pt>
                <c:pt idx="2">
                  <c:v>44348</c:v>
                </c:pt>
                <c:pt idx="3">
                  <c:v>44378</c:v>
                </c:pt>
                <c:pt idx="4">
                  <c:v>44409</c:v>
                </c:pt>
                <c:pt idx="5">
                  <c:v>44440</c:v>
                </c:pt>
                <c:pt idx="6">
                  <c:v>44470</c:v>
                </c:pt>
              </c:numCache>
            </c:numRef>
          </c:cat>
          <c:val>
            <c:numRef>
              <c:f>Sheet5!$D$24:$J$24</c:f>
              <c:numCache>
                <c:formatCode>0.0%</c:formatCode>
                <c:ptCount val="7"/>
                <c:pt idx="0">
                  <c:v>0.70892018779342725</c:v>
                </c:pt>
                <c:pt idx="1">
                  <c:v>#N/A</c:v>
                </c:pt>
                <c:pt idx="2">
                  <c:v>#N/A</c:v>
                </c:pt>
                <c:pt idx="3">
                  <c:v>0.74384236453201968</c:v>
                </c:pt>
                <c:pt idx="4">
                  <c:v>0.71563981042654023</c:v>
                </c:pt>
                <c:pt idx="5">
                  <c:v>0.68571428571428572</c:v>
                </c:pt>
                <c:pt idx="6">
                  <c:v>0.68571428571428572</c:v>
                </c:pt>
              </c:numCache>
            </c:numRef>
          </c:val>
          <c:smooth val="0"/>
          <c:extLst>
            <c:ext xmlns:c16="http://schemas.microsoft.com/office/drawing/2014/chart" uri="{C3380CC4-5D6E-409C-BE32-E72D297353CC}">
              <c16:uniqueId val="{00000002-0D3F-4892-A675-E0779F5B63E8}"/>
            </c:ext>
          </c:extLst>
        </c:ser>
        <c:ser>
          <c:idx val="3"/>
          <c:order val="3"/>
          <c:tx>
            <c:strRef>
              <c:f>Sheet5!$C$25</c:f>
              <c:strCache>
                <c:ptCount val="1"/>
                <c:pt idx="0">
                  <c:v>11 ACT recorded</c:v>
                </c:pt>
              </c:strCache>
            </c:strRef>
          </c:tx>
          <c:spPr>
            <a:ln w="31750" cap="rnd">
              <a:solidFill>
                <a:schemeClr val="accent4"/>
              </a:solidFill>
              <a:round/>
            </a:ln>
            <a:effectLst/>
          </c:spPr>
          <c:marker>
            <c:symbol val="circle"/>
            <c:size val="17"/>
            <c:spPr>
              <a:solidFill>
                <a:schemeClr val="accent4"/>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2">
                        <a:lumMod val="1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Sheet5!$D$21:$J$21</c:f>
              <c:numCache>
                <c:formatCode>m/d/yyyy</c:formatCode>
                <c:ptCount val="7"/>
                <c:pt idx="0">
                  <c:v>44287</c:v>
                </c:pt>
                <c:pt idx="1">
                  <c:v>44317</c:v>
                </c:pt>
                <c:pt idx="2">
                  <c:v>44348</c:v>
                </c:pt>
                <c:pt idx="3">
                  <c:v>44378</c:v>
                </c:pt>
                <c:pt idx="4">
                  <c:v>44409</c:v>
                </c:pt>
                <c:pt idx="5">
                  <c:v>44440</c:v>
                </c:pt>
                <c:pt idx="6">
                  <c:v>44470</c:v>
                </c:pt>
              </c:numCache>
            </c:numRef>
          </c:cat>
          <c:val>
            <c:numRef>
              <c:f>Sheet5!$D$25:$J$25</c:f>
              <c:numCache>
                <c:formatCode>0.0%</c:formatCode>
                <c:ptCount val="7"/>
                <c:pt idx="0">
                  <c:v>0.9072847682119205</c:v>
                </c:pt>
                <c:pt idx="1">
                  <c:v>#N/A</c:v>
                </c:pt>
                <c:pt idx="2">
                  <c:v>#N/A</c:v>
                </c:pt>
                <c:pt idx="3">
                  <c:v>0.92715231788079466</c:v>
                </c:pt>
                <c:pt idx="4">
                  <c:v>0.92715231788079466</c:v>
                </c:pt>
                <c:pt idx="5">
                  <c:v>0.9375</c:v>
                </c:pt>
                <c:pt idx="6">
                  <c:v>0.98611111111111116</c:v>
                </c:pt>
              </c:numCache>
            </c:numRef>
          </c:val>
          <c:smooth val="0"/>
          <c:extLst>
            <c:ext xmlns:c16="http://schemas.microsoft.com/office/drawing/2014/chart" uri="{C3380CC4-5D6E-409C-BE32-E72D297353CC}">
              <c16:uniqueId val="{00000003-0D3F-4892-A675-E0779F5B63E8}"/>
            </c:ext>
          </c:extLst>
        </c:ser>
        <c:ser>
          <c:idx val="4"/>
          <c:order val="4"/>
          <c:tx>
            <c:strRef>
              <c:f>Sheet5!$C$26</c:f>
              <c:strCache>
                <c:ptCount val="1"/>
                <c:pt idx="0">
                  <c:v>12 off target with clinical review(2)</c:v>
                </c:pt>
              </c:strCache>
            </c:strRef>
          </c:tx>
          <c:spPr>
            <a:ln w="31750" cap="rnd">
              <a:solidFill>
                <a:schemeClr val="accent5"/>
              </a:solidFill>
              <a:round/>
            </a:ln>
            <a:effectLst/>
          </c:spPr>
          <c:marker>
            <c:symbol val="circle"/>
            <c:size val="17"/>
            <c:spPr>
              <a:solidFill>
                <a:schemeClr val="accent5"/>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Sheet5!$D$21:$J$21</c:f>
              <c:numCache>
                <c:formatCode>m/d/yyyy</c:formatCode>
                <c:ptCount val="7"/>
                <c:pt idx="0">
                  <c:v>44287</c:v>
                </c:pt>
                <c:pt idx="1">
                  <c:v>44317</c:v>
                </c:pt>
                <c:pt idx="2">
                  <c:v>44348</c:v>
                </c:pt>
                <c:pt idx="3">
                  <c:v>44378</c:v>
                </c:pt>
                <c:pt idx="4">
                  <c:v>44409</c:v>
                </c:pt>
                <c:pt idx="5">
                  <c:v>44440</c:v>
                </c:pt>
                <c:pt idx="6">
                  <c:v>44470</c:v>
                </c:pt>
              </c:numCache>
            </c:numRef>
          </c:cat>
          <c:val>
            <c:numRef>
              <c:f>Sheet5!$D$26:$J$26</c:f>
              <c:numCache>
                <c:formatCode>0.0%</c:formatCode>
                <c:ptCount val="7"/>
                <c:pt idx="0">
                  <c:v>0.74714518760195758</c:v>
                </c:pt>
                <c:pt idx="1">
                  <c:v>#N/A</c:v>
                </c:pt>
                <c:pt idx="2">
                  <c:v>#N/A</c:v>
                </c:pt>
                <c:pt idx="3">
                  <c:v>0.70610687022900764</c:v>
                </c:pt>
                <c:pt idx="4">
                  <c:v>0.70476190476190481</c:v>
                </c:pt>
                <c:pt idx="5">
                  <c:v>0.69083969465648853</c:v>
                </c:pt>
                <c:pt idx="6">
                  <c:v>0.64849624060150379</c:v>
                </c:pt>
              </c:numCache>
            </c:numRef>
          </c:val>
          <c:smooth val="0"/>
          <c:extLst>
            <c:ext xmlns:c16="http://schemas.microsoft.com/office/drawing/2014/chart" uri="{C3380CC4-5D6E-409C-BE32-E72D297353CC}">
              <c16:uniqueId val="{00000004-0D3F-4892-A675-E0779F5B63E8}"/>
            </c:ext>
          </c:extLst>
        </c:ser>
        <c:dLbls>
          <c:dLblPos val="ctr"/>
          <c:showLegendKey val="0"/>
          <c:showVal val="1"/>
          <c:showCatName val="0"/>
          <c:showSerName val="0"/>
          <c:showPercent val="0"/>
          <c:showBubbleSize val="0"/>
        </c:dLbls>
        <c:marker val="1"/>
        <c:smooth val="0"/>
        <c:axId val="1274246175"/>
        <c:axId val="1274242431"/>
      </c:lineChart>
      <c:dateAx>
        <c:axId val="1274246175"/>
        <c:scaling>
          <c:orientation val="minMax"/>
        </c:scaling>
        <c:delete val="0"/>
        <c:axPos val="b"/>
        <c:numFmt formatCode="m/d/yyyy" sourceLinked="1"/>
        <c:majorTickMark val="out"/>
        <c:minorTickMark val="out"/>
        <c:tickLblPos val="nextTo"/>
        <c:spPr>
          <a:noFill/>
          <a:ln w="19050" cap="flat" cmpd="sng" algn="ctr">
            <a:solidFill>
              <a:schemeClr val="dk1">
                <a:lumMod val="75000"/>
                <a:lumOff val="25000"/>
              </a:schemeClr>
            </a:solidFill>
            <a:round/>
          </a:ln>
          <a:effectLst/>
        </c:spPr>
        <c:txPr>
          <a:bodyPr rot="-60000000" spcFirstLastPara="1" vertOverflow="ellipsis" vert="horz" wrap="square" anchor="ctr" anchorCtr="1"/>
          <a:lstStyle/>
          <a:p>
            <a:pPr>
              <a:defRPr sz="900" b="0" i="0" u="none" strike="noStrike" kern="1200" cap="all" baseline="0">
                <a:solidFill>
                  <a:schemeClr val="dk1">
                    <a:lumMod val="75000"/>
                    <a:lumOff val="25000"/>
                  </a:schemeClr>
                </a:solidFill>
                <a:latin typeface="+mn-lt"/>
                <a:ea typeface="+mn-ea"/>
                <a:cs typeface="+mn-cs"/>
              </a:defRPr>
            </a:pPr>
            <a:endParaRPr lang="en-US"/>
          </a:p>
        </c:txPr>
        <c:crossAx val="1274242431"/>
        <c:crosses val="autoZero"/>
        <c:auto val="1"/>
        <c:lblOffset val="100"/>
        <c:baseTimeUnit val="months"/>
      </c:dateAx>
      <c:valAx>
        <c:axId val="1274242431"/>
        <c:scaling>
          <c:orientation val="minMax"/>
        </c:scaling>
        <c:delete val="0"/>
        <c:axPos val="l"/>
        <c:numFmt formatCode="0.0%" sourceLinked="1"/>
        <c:majorTickMark val="out"/>
        <c:minorTickMark val="out"/>
        <c:tickLblPos val="nextTo"/>
        <c:spPr>
          <a:noFill/>
          <a:ln w="12700">
            <a:solidFill>
              <a:schemeClr val="accent1"/>
            </a:solidFill>
          </a:ln>
          <a:effectLst/>
        </c:spPr>
        <c:txPr>
          <a:bodyPr rot="-60000000" spcFirstLastPara="1" vertOverflow="ellipsis" vert="horz" wrap="square" anchor="ctr" anchorCtr="1"/>
          <a:lstStyle/>
          <a:p>
            <a:pPr>
              <a:defRPr sz="900" b="1" i="0" u="none" strike="noStrike" kern="1200" baseline="0">
                <a:solidFill>
                  <a:schemeClr val="dk1">
                    <a:lumMod val="75000"/>
                    <a:lumOff val="25000"/>
                  </a:schemeClr>
                </a:solidFill>
                <a:latin typeface="+mn-lt"/>
                <a:ea typeface="+mn-ea"/>
                <a:cs typeface="+mn-cs"/>
              </a:defRPr>
            </a:pPr>
            <a:endParaRPr lang="en-US"/>
          </a:p>
        </c:txPr>
        <c:crossAx val="1274246175"/>
        <c:crosses val="autoZero"/>
        <c:crossBetween val="between"/>
      </c:valAx>
      <c:spPr>
        <a:noFill/>
        <a:ln>
          <a:noFill/>
        </a:ln>
        <a:effectLst/>
      </c:spPr>
    </c:plotArea>
    <c:legend>
      <c:legendPos val="r"/>
      <c:layout>
        <c:manualLayout>
          <c:xMode val="edge"/>
          <c:yMode val="edge"/>
          <c:x val="0.58458831468390493"/>
          <c:y val="0.18252851276700341"/>
          <c:w val="0.34474236360362998"/>
          <c:h val="0.49777141215030424"/>
        </c:manualLayout>
      </c:layout>
      <c:overlay val="0"/>
      <c:spPr>
        <a:solidFill>
          <a:schemeClr val="lt1">
            <a:lumMod val="95000"/>
            <a:alpha val="39000"/>
          </a:schemeClr>
        </a:solidFill>
        <a:ln>
          <a:noFill/>
        </a:ln>
        <a:effectLst/>
      </c:spPr>
      <c:txPr>
        <a:bodyPr rot="0" spcFirstLastPara="1" vertOverflow="ellipsis" vert="horz" wrap="square" anchor="ctr" anchorCtr="1"/>
        <a:lstStyle/>
        <a:p>
          <a:pPr>
            <a:defRPr sz="800" b="0" i="0" u="none" strike="noStrike" kern="1200" baseline="0">
              <a:solidFill>
                <a:schemeClr val="dk1">
                  <a:lumMod val="75000"/>
                  <a:lumOff val="25000"/>
                </a:schemeClr>
              </a:solidFill>
              <a:latin typeface="+mn-lt"/>
              <a:ea typeface="+mn-ea"/>
              <a:cs typeface="+mn-cs"/>
            </a:defRPr>
          </a:pPr>
          <a:endParaRPr lang="en-US"/>
        </a:p>
      </c:txPr>
    </c:legend>
    <c:plotVisOnly val="1"/>
    <c:dispBlanksAs val="gap"/>
    <c:showDLblsOverMax val="0"/>
  </c:chart>
  <c:spPr>
    <a:solidFill>
      <a:sysClr val="window" lastClr="FFFFFF"/>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52642614410040856"/>
          <c:y val="0.30504605106179911"/>
          <c:w val="0.53341908661417325"/>
          <c:h val="0.61939461371676363"/>
        </c:manualLayout>
      </c:layout>
      <c:barChart>
        <c:barDir val="bar"/>
        <c:grouping val="stacked"/>
        <c:varyColors val="0"/>
        <c:ser>
          <c:idx val="0"/>
          <c:order val="0"/>
          <c:tx>
            <c:strRef>
              <c:f>Sheet5!$D$4</c:f>
              <c:strCache>
                <c:ptCount val="1"/>
                <c:pt idx="0">
                  <c:v>Chingford/ Walthamstow</c:v>
                </c:pt>
              </c:strCache>
            </c:strRef>
          </c:tx>
          <c:spPr>
            <a:solidFill>
              <a:schemeClr val="bg1">
                <a:lumMod val="65000"/>
              </a:schemeClr>
            </a:solidFill>
            <a:ln>
              <a:noFill/>
            </a:ln>
            <a:effectLst/>
          </c:spPr>
          <c:invertIfNegative val="0"/>
          <c:dLbls>
            <c:dLbl>
              <c:idx val="1"/>
              <c:layout>
                <c:manualLayout>
                  <c:x val="9.1337398614646736E-2"/>
                  <c:y val="1.4760147601476014E-2"/>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1181-463E-842E-DE998C7A46E0}"/>
                </c:ext>
              </c:extLst>
            </c:dLbl>
            <c:dLbl>
              <c:idx val="3"/>
              <c:layout>
                <c:manualLayout>
                  <c:x val="0.1057927939480808"/>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1181-463E-842E-DE998C7A46E0}"/>
                </c:ext>
              </c:extLst>
            </c:dLbl>
            <c:dLbl>
              <c:idx val="4"/>
              <c:layout>
                <c:manualLayout>
                  <c:x val="7.8671118110236221E-2"/>
                  <c:y val="-1.4492753623188406E-2"/>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F0D-449B-AA0D-D2988E7BA444}"/>
                </c:ext>
              </c:extLst>
            </c:dLbl>
            <c:spPr>
              <a:noFill/>
              <a:ln w="12700" cap="flat" cmpd="sng" algn="ctr">
                <a:noFill/>
                <a:prstDash val="solid"/>
                <a:miter lim="800000"/>
              </a:ln>
              <a:effectLst/>
            </c:spPr>
            <c:txPr>
              <a:bodyPr rot="0" spcFirstLastPara="1" vertOverflow="ellipsis" vert="horz" wrap="square" anchor="ctr" anchorCtr="1"/>
              <a:lstStyle/>
              <a:p>
                <a:pPr>
                  <a:defRPr sz="900" b="1" i="0" u="none" strike="noStrike" kern="1200" baseline="0">
                    <a:solidFill>
                      <a:schemeClr val="bg1"/>
                    </a:solidFill>
                    <a:latin typeface="+mn-lt"/>
                    <a:ea typeface="+mn-ea"/>
                    <a:cs typeface="+mn-cs"/>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Sheet5!$C$5:$C$9</c:f>
              <c:strCache>
                <c:ptCount val="5"/>
                <c:pt idx="0">
                  <c:v>1 Diabetes review recorded or proxy 12m</c:v>
                </c:pt>
                <c:pt idx="1">
                  <c:v>3 Triple target achieved</c:v>
                </c:pt>
                <c:pt idx="2">
                  <c:v>8 Asthma review coded or proxy(inhaler technique) 12m</c:v>
                </c:pt>
                <c:pt idx="3">
                  <c:v>11 ACT recorded</c:v>
                </c:pt>
                <c:pt idx="4">
                  <c:v>12 off target with clinical review(2)</c:v>
                </c:pt>
              </c:strCache>
            </c:strRef>
          </c:cat>
          <c:val>
            <c:numRef>
              <c:f>Sheet5!$D$5:$D$9</c:f>
              <c:numCache>
                <c:formatCode>0.0%</c:formatCode>
                <c:ptCount val="5"/>
                <c:pt idx="0">
                  <c:v>0.59175424413904609</c:v>
                </c:pt>
                <c:pt idx="1">
                  <c:v>0.13365442504515351</c:v>
                </c:pt>
                <c:pt idx="2">
                  <c:v>0.67511312217194575</c:v>
                </c:pt>
                <c:pt idx="3">
                  <c:v>0.89142091152815017</c:v>
                </c:pt>
                <c:pt idx="4">
                  <c:v>0.31586826347305391</c:v>
                </c:pt>
              </c:numCache>
            </c:numRef>
          </c:val>
          <c:extLst>
            <c:ext xmlns:c16="http://schemas.microsoft.com/office/drawing/2014/chart" uri="{C3380CC4-5D6E-409C-BE32-E72D297353CC}">
              <c16:uniqueId val="{00000002-1181-463E-842E-DE998C7A46E0}"/>
            </c:ext>
          </c:extLst>
        </c:ser>
        <c:ser>
          <c:idx val="1"/>
          <c:order val="1"/>
          <c:tx>
            <c:strRef>
              <c:f>Sheet5!$E$4</c:f>
              <c:strCache>
                <c:ptCount val="1"/>
                <c:pt idx="0">
                  <c:v>The Microfaculty **</c:v>
                </c:pt>
              </c:strCache>
            </c:strRef>
          </c:tx>
          <c:spPr>
            <a:solidFill>
              <a:srgbClr val="00B0F0"/>
            </a:solidFill>
            <a:ln>
              <a:noFill/>
            </a:ln>
            <a:effectLst/>
          </c:spPr>
          <c:invertIfNegative val="0"/>
          <c:dLbls>
            <c:dLbl>
              <c:idx val="1"/>
              <c:layout>
                <c:manualLayout>
                  <c:x val="-7.1917115623705036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1181-463E-842E-DE998C7A46E0}"/>
                </c:ext>
              </c:extLst>
            </c:dLbl>
            <c:dLbl>
              <c:idx val="3"/>
              <c:layout>
                <c:manualLayout>
                  <c:x val="-7.053276779206781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AAA1-49D5-8D96-20625E95D020}"/>
                </c:ext>
              </c:extLst>
            </c:dLbl>
            <c:dLbl>
              <c:idx val="4"/>
              <c:layout>
                <c:manualLayout>
                  <c:x val="-6.7397455064305153E-2"/>
                  <c:y val="5.3384161677204438E-17"/>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AF0D-449B-AA0D-D2988E7BA444}"/>
                </c:ext>
              </c:extLst>
            </c:dLbl>
            <c:numFmt formatCode="#,##0%;#,##0.0%" sourceLinked="0"/>
            <c:spPr>
              <a:noFill/>
              <a:ln>
                <a:noFill/>
              </a:ln>
              <a:effectLst/>
            </c:spPr>
            <c:txPr>
              <a:bodyPr rot="0" spcFirstLastPara="1" vertOverflow="ellipsis" vert="horz" wrap="square" anchor="ctr" anchorCtr="1"/>
              <a:lstStyle/>
              <a:p>
                <a:pPr>
                  <a:defRPr sz="900" b="1" i="0" u="none" strike="noStrike" kern="1200" baseline="0">
                    <a:solidFill>
                      <a:schemeClr val="bg1"/>
                    </a:solidFill>
                    <a:latin typeface="+mn-lt"/>
                    <a:ea typeface="+mn-ea"/>
                    <a:cs typeface="+mn-cs"/>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Sheet5!$C$5:$C$9</c:f>
              <c:strCache>
                <c:ptCount val="5"/>
                <c:pt idx="0">
                  <c:v>1 Diabetes review recorded or proxy 12m</c:v>
                </c:pt>
                <c:pt idx="1">
                  <c:v>3 Triple target achieved</c:v>
                </c:pt>
                <c:pt idx="2">
                  <c:v>8 Asthma review coded or proxy(inhaler technique) 12m</c:v>
                </c:pt>
                <c:pt idx="3">
                  <c:v>11 ACT recorded</c:v>
                </c:pt>
                <c:pt idx="4">
                  <c:v>12 off target with clinical review(2)</c:v>
                </c:pt>
              </c:strCache>
            </c:strRef>
          </c:cat>
          <c:val>
            <c:numRef>
              <c:f>Sheet5!$E$5:$E$9</c:f>
              <c:numCache>
                <c:formatCode>0.0%</c:formatCode>
                <c:ptCount val="5"/>
                <c:pt idx="0">
                  <c:v>-0.65934065934065933</c:v>
                </c:pt>
                <c:pt idx="1">
                  <c:v>-0.15129151291512916</c:v>
                </c:pt>
                <c:pt idx="2">
                  <c:v>-0.64319248826291076</c:v>
                </c:pt>
                <c:pt idx="3">
                  <c:v>-0.99270072992700731</c:v>
                </c:pt>
                <c:pt idx="4">
                  <c:v>-0.69529652351738236</c:v>
                </c:pt>
              </c:numCache>
            </c:numRef>
          </c:val>
          <c:extLst>
            <c:ext xmlns:c16="http://schemas.microsoft.com/office/drawing/2014/chart" uri="{C3380CC4-5D6E-409C-BE32-E72D297353CC}">
              <c16:uniqueId val="{00000004-1181-463E-842E-DE998C7A46E0}"/>
            </c:ext>
          </c:extLst>
        </c:ser>
        <c:dLbls>
          <c:showLegendKey val="0"/>
          <c:showVal val="0"/>
          <c:showCatName val="0"/>
          <c:showSerName val="0"/>
          <c:showPercent val="0"/>
          <c:showBubbleSize val="0"/>
        </c:dLbls>
        <c:gapWidth val="150"/>
        <c:overlap val="100"/>
        <c:axId val="1276030303"/>
        <c:axId val="1276030719"/>
      </c:barChart>
      <c:catAx>
        <c:axId val="1276030303"/>
        <c:scaling>
          <c:orientation val="minMax"/>
        </c:scaling>
        <c:delete val="0"/>
        <c:axPos val="l"/>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800" b="0" i="0" u="none" strike="noStrike" kern="1200" baseline="0">
                <a:solidFill>
                  <a:schemeClr val="dk1"/>
                </a:solidFill>
                <a:latin typeface="+mn-lt"/>
                <a:ea typeface="+mn-ea"/>
                <a:cs typeface="+mn-cs"/>
              </a:defRPr>
            </a:pPr>
            <a:endParaRPr lang="en-US"/>
          </a:p>
        </c:txPr>
        <c:crossAx val="1276030719"/>
        <c:crosses val="autoZero"/>
        <c:auto val="1"/>
        <c:lblAlgn val="ctr"/>
        <c:lblOffset val="100"/>
        <c:noMultiLvlLbl val="0"/>
      </c:catAx>
      <c:valAx>
        <c:axId val="1276030719"/>
        <c:scaling>
          <c:orientation val="minMax"/>
        </c:scaling>
        <c:delete val="1"/>
        <c:axPos val="b"/>
        <c:numFmt formatCode="0.0%" sourceLinked="1"/>
        <c:majorTickMark val="none"/>
        <c:minorTickMark val="none"/>
        <c:tickLblPos val="nextTo"/>
        <c:crossAx val="1276030303"/>
        <c:crosses val="autoZero"/>
        <c:crossBetween val="between"/>
      </c:valAx>
      <c:spPr>
        <a:solidFill>
          <a:srgbClr val="D3E3E5"/>
        </a:solidFill>
        <a:ln w="12700" cap="flat" cmpd="sng" algn="ctr">
          <a:noFill/>
          <a:prstDash val="solid"/>
          <a:miter lim="800000"/>
        </a:ln>
        <a:effectLst/>
      </c:spPr>
    </c:plotArea>
    <c:plotVisOnly val="1"/>
    <c:dispBlanksAs val="gap"/>
    <c:showDLblsOverMax val="0"/>
  </c:chart>
  <c:spPr>
    <a:solidFill>
      <a:schemeClr val="lt1"/>
    </a:solidFill>
    <a:ln w="12700" cap="flat" cmpd="sng" algn="ctr">
      <a:noFill/>
      <a:prstDash val="solid"/>
      <a:miter lim="800000"/>
    </a:ln>
    <a:effectLst/>
  </c:spPr>
  <c:txPr>
    <a:bodyPr/>
    <a:lstStyle/>
    <a:p>
      <a:pPr>
        <a:defRPr>
          <a:solidFill>
            <a:schemeClr val="dk1"/>
          </a:solidFill>
          <a:latin typeface="+mn-lt"/>
          <a:ea typeface="+mn-ea"/>
          <a:cs typeface="+mn-cs"/>
        </a:defRPr>
      </a:pPr>
      <a:endParaRPr lang="en-US"/>
    </a:p>
  </c:txPr>
  <c:printSettings>
    <c:headerFooter/>
    <c:pageMargins b="0.75" l="0.7" r="0.7" t="0.75" header="0.3" footer="0.3"/>
    <c:pageSetup/>
  </c:printSettings>
  <c:userShapes r:id="rId3"/>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5.3845695417272715E-2"/>
          <c:y val="0.31683538313258575"/>
          <c:w val="0.53341908661417325"/>
          <c:h val="0.65774268141829562"/>
        </c:manualLayout>
      </c:layout>
      <c:barChart>
        <c:barDir val="bar"/>
        <c:grouping val="stacked"/>
        <c:varyColors val="0"/>
        <c:ser>
          <c:idx val="0"/>
          <c:order val="0"/>
          <c:spPr>
            <a:solidFill>
              <a:schemeClr val="accent5">
                <a:lumMod val="75000"/>
              </a:schemeClr>
            </a:solidFill>
            <a:ln>
              <a:noFill/>
            </a:ln>
            <a:effectLst/>
          </c:spPr>
          <c:invertIfNegative val="0"/>
          <c:dLbls>
            <c:dLbl>
              <c:idx val="0"/>
              <c:layout>
                <c:manualLayout>
                  <c:x val="0.26790618255401183"/>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5043-404B-9312-9A1F7B8369FF}"/>
                </c:ext>
              </c:extLst>
            </c:dLbl>
            <c:dLbl>
              <c:idx val="1"/>
              <c:layout>
                <c:manualLayout>
                  <c:x val="0.31630969033742695"/>
                  <c:y val="-1.0766520880919808E-16"/>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5043-404B-9312-9A1F7B8369FF}"/>
                </c:ext>
              </c:extLst>
            </c:dLbl>
            <c:dLbl>
              <c:idx val="3"/>
              <c:layout>
                <c:manualLayout>
                  <c:x val="0.24543745626090666"/>
                  <c:y val="-1.7618146783670838E-2"/>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5043-404B-9312-9A1F7B8369FF}"/>
                </c:ext>
              </c:extLst>
            </c:dLbl>
            <c:dLbl>
              <c:idx val="4"/>
              <c:layout>
                <c:manualLayout>
                  <c:x val="0.30075347605853708"/>
                  <c:y val="-5.3832604404599038E-17"/>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399D-42B8-A50F-AC0FC904016A}"/>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Sheet5!$C$5:$C$9</c:f>
              <c:strCache>
                <c:ptCount val="5"/>
                <c:pt idx="0">
                  <c:v>1 Diabetes review recorded or proxy 12m</c:v>
                </c:pt>
                <c:pt idx="1">
                  <c:v>3 Triple target achieved</c:v>
                </c:pt>
                <c:pt idx="2">
                  <c:v>8 Asthma review coded or proxy(inhaler technique) 12m</c:v>
                </c:pt>
                <c:pt idx="3">
                  <c:v>11 ACT recorded</c:v>
                </c:pt>
                <c:pt idx="4">
                  <c:v>12 off target with clinical review(2)</c:v>
                </c:pt>
              </c:strCache>
            </c:strRef>
          </c:cat>
          <c:val>
            <c:numRef>
              <c:f>Sheet5!$G$5:$G$9</c:f>
              <c:numCache>
                <c:formatCode>0.0%</c:formatCode>
                <c:ptCount val="5"/>
                <c:pt idx="0">
                  <c:v>0.69559373539036928</c:v>
                </c:pt>
                <c:pt idx="1">
                  <c:v>0.14355161567057478</c:v>
                </c:pt>
                <c:pt idx="2">
                  <c:v>0.69250470809792841</c:v>
                </c:pt>
                <c:pt idx="3">
                  <c:v>0.95996954204285867</c:v>
                </c:pt>
                <c:pt idx="4">
                  <c:v>0.3800873362445415</c:v>
                </c:pt>
              </c:numCache>
            </c:numRef>
          </c:val>
          <c:extLst>
            <c:ext xmlns:c16="http://schemas.microsoft.com/office/drawing/2014/chart" uri="{C3380CC4-5D6E-409C-BE32-E72D297353CC}">
              <c16:uniqueId val="{00000000-5043-404B-9312-9A1F7B8369FF}"/>
            </c:ext>
          </c:extLst>
        </c:ser>
        <c:dLbls>
          <c:showLegendKey val="0"/>
          <c:showVal val="0"/>
          <c:showCatName val="0"/>
          <c:showSerName val="0"/>
          <c:showPercent val="0"/>
          <c:showBubbleSize val="0"/>
        </c:dLbls>
        <c:gapWidth val="150"/>
        <c:overlap val="100"/>
        <c:axId val="1276030303"/>
        <c:axId val="1276030719"/>
      </c:barChart>
      <c:catAx>
        <c:axId val="1276030303"/>
        <c:scaling>
          <c:orientation val="minMax"/>
        </c:scaling>
        <c:delete val="1"/>
        <c:axPos val="l"/>
        <c:numFmt formatCode="General" sourceLinked="1"/>
        <c:majorTickMark val="none"/>
        <c:minorTickMark val="none"/>
        <c:tickLblPos val="low"/>
        <c:crossAx val="1276030719"/>
        <c:crosses val="autoZero"/>
        <c:auto val="1"/>
        <c:lblAlgn val="ctr"/>
        <c:lblOffset val="100"/>
        <c:noMultiLvlLbl val="0"/>
      </c:catAx>
      <c:valAx>
        <c:axId val="1276030719"/>
        <c:scaling>
          <c:orientation val="minMax"/>
        </c:scaling>
        <c:delete val="1"/>
        <c:axPos val="b"/>
        <c:numFmt formatCode="0.0%" sourceLinked="1"/>
        <c:majorTickMark val="none"/>
        <c:minorTickMark val="none"/>
        <c:tickLblPos val="nextTo"/>
        <c:crossAx val="1276030303"/>
        <c:crosses val="autoZero"/>
        <c:crossBetween val="between"/>
      </c:valAx>
      <c:spPr>
        <a:solidFill>
          <a:srgbClr val="D3E3E5"/>
        </a:solidFill>
        <a:ln w="25400">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3"/>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7.2439184794132125E-2"/>
          <c:y val="0.14122555018052774"/>
          <c:w val="0.91178731863683593"/>
          <c:h val="0.77967200567588912"/>
        </c:manualLayout>
      </c:layout>
      <c:lineChart>
        <c:grouping val="standard"/>
        <c:varyColors val="0"/>
        <c:ser>
          <c:idx val="0"/>
          <c:order val="0"/>
          <c:tx>
            <c:strRef>
              <c:f>Sheet5!$C$22</c:f>
              <c:strCache>
                <c:ptCount val="1"/>
                <c:pt idx="0">
                  <c:v>1 Diabetes review recorded or proxy 12m</c:v>
                </c:pt>
              </c:strCache>
            </c:strRef>
          </c:tx>
          <c:spPr>
            <a:ln w="31750" cap="rnd">
              <a:solidFill>
                <a:schemeClr val="accent1"/>
              </a:solidFill>
              <a:round/>
            </a:ln>
            <a:effectLst/>
          </c:spPr>
          <c:marker>
            <c:symbol val="circle"/>
            <c:size val="17"/>
            <c:spPr>
              <a:solidFill>
                <a:schemeClr val="accent1"/>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Sheet5!$D$21:$P$21</c:f>
              <c:numCache>
                <c:formatCode>m/d/yyyy</c:formatCode>
                <c:ptCount val="13"/>
                <c:pt idx="0">
                  <c:v>44287</c:v>
                </c:pt>
                <c:pt idx="1">
                  <c:v>44317</c:v>
                </c:pt>
                <c:pt idx="2">
                  <c:v>44348</c:v>
                </c:pt>
                <c:pt idx="3">
                  <c:v>44378</c:v>
                </c:pt>
                <c:pt idx="4">
                  <c:v>44409</c:v>
                </c:pt>
                <c:pt idx="5">
                  <c:v>44440</c:v>
                </c:pt>
                <c:pt idx="6">
                  <c:v>44470</c:v>
                </c:pt>
                <c:pt idx="7">
                  <c:v>44501</c:v>
                </c:pt>
                <c:pt idx="8">
                  <c:v>44531</c:v>
                </c:pt>
                <c:pt idx="9">
                  <c:v>44562</c:v>
                </c:pt>
                <c:pt idx="10">
                  <c:v>44593</c:v>
                </c:pt>
                <c:pt idx="11">
                  <c:v>44621</c:v>
                </c:pt>
                <c:pt idx="12">
                  <c:v>44652</c:v>
                </c:pt>
              </c:numCache>
            </c:numRef>
          </c:cat>
          <c:val>
            <c:numRef>
              <c:f>Sheet5!$D$22:$P$22</c:f>
              <c:numCache>
                <c:formatCode>0.0%</c:formatCode>
                <c:ptCount val="13"/>
                <c:pt idx="0">
                  <c:v>0.59944751381215466</c:v>
                </c:pt>
                <c:pt idx="1">
                  <c:v>#N/A</c:v>
                </c:pt>
                <c:pt idx="2">
                  <c:v>#N/A</c:v>
                </c:pt>
                <c:pt idx="3">
                  <c:v>0.7325905292479109</c:v>
                </c:pt>
                <c:pt idx="4">
                  <c:v>0.78116343490304707</c:v>
                </c:pt>
                <c:pt idx="5">
                  <c:v>0.74861878453038677</c:v>
                </c:pt>
                <c:pt idx="6">
                  <c:v>0.72876712328767124</c:v>
                </c:pt>
                <c:pt idx="7">
                  <c:v>0.72876712328767124</c:v>
                </c:pt>
                <c:pt idx="8">
                  <c:v>0.5805555555555556</c:v>
                </c:pt>
                <c:pt idx="9">
                  <c:v>0.5730337078651685</c:v>
                </c:pt>
                <c:pt idx="10" formatCode="0%">
                  <c:v>0.6</c:v>
                </c:pt>
                <c:pt idx="11" formatCode="0%">
                  <c:v>0.59279778393351801</c:v>
                </c:pt>
                <c:pt idx="12" formatCode="0%">
                  <c:v>0.65934065934065933</c:v>
                </c:pt>
              </c:numCache>
            </c:numRef>
          </c:val>
          <c:smooth val="0"/>
          <c:extLst>
            <c:ext xmlns:c16="http://schemas.microsoft.com/office/drawing/2014/chart" uri="{C3380CC4-5D6E-409C-BE32-E72D297353CC}">
              <c16:uniqueId val="{00000000-B11B-4153-B0A8-6730BBF51A45}"/>
            </c:ext>
          </c:extLst>
        </c:ser>
        <c:ser>
          <c:idx val="1"/>
          <c:order val="1"/>
          <c:tx>
            <c:strRef>
              <c:f>Sheet5!$C$23</c:f>
              <c:strCache>
                <c:ptCount val="1"/>
                <c:pt idx="0">
                  <c:v>3 Triple target achieved</c:v>
                </c:pt>
              </c:strCache>
            </c:strRef>
          </c:tx>
          <c:spPr>
            <a:ln w="31750" cap="rnd">
              <a:solidFill>
                <a:schemeClr val="accent2"/>
              </a:solidFill>
              <a:round/>
            </a:ln>
            <a:effectLst/>
          </c:spPr>
          <c:marker>
            <c:symbol val="circle"/>
            <c:size val="17"/>
            <c:spPr>
              <a:solidFill>
                <a:schemeClr val="accent2"/>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Sheet5!$D$21:$P$21</c:f>
              <c:numCache>
                <c:formatCode>m/d/yyyy</c:formatCode>
                <c:ptCount val="13"/>
                <c:pt idx="0">
                  <c:v>44287</c:v>
                </c:pt>
                <c:pt idx="1">
                  <c:v>44317</c:v>
                </c:pt>
                <c:pt idx="2">
                  <c:v>44348</c:v>
                </c:pt>
                <c:pt idx="3">
                  <c:v>44378</c:v>
                </c:pt>
                <c:pt idx="4">
                  <c:v>44409</c:v>
                </c:pt>
                <c:pt idx="5">
                  <c:v>44440</c:v>
                </c:pt>
                <c:pt idx="6">
                  <c:v>44470</c:v>
                </c:pt>
                <c:pt idx="7">
                  <c:v>44501</c:v>
                </c:pt>
                <c:pt idx="8">
                  <c:v>44531</c:v>
                </c:pt>
                <c:pt idx="9">
                  <c:v>44562</c:v>
                </c:pt>
                <c:pt idx="10">
                  <c:v>44593</c:v>
                </c:pt>
                <c:pt idx="11">
                  <c:v>44621</c:v>
                </c:pt>
                <c:pt idx="12">
                  <c:v>44652</c:v>
                </c:pt>
              </c:numCache>
            </c:numRef>
          </c:cat>
          <c:val>
            <c:numRef>
              <c:f>Sheet5!$D$23:$P$23</c:f>
              <c:numCache>
                <c:formatCode>0.0%</c:formatCode>
                <c:ptCount val="13"/>
                <c:pt idx="0">
                  <c:v>0</c:v>
                </c:pt>
                <c:pt idx="1">
                  <c:v>#N/A</c:v>
                </c:pt>
                <c:pt idx="2">
                  <c:v>#N/A</c:v>
                </c:pt>
                <c:pt idx="3">
                  <c:v>0.14828897338403041</c:v>
                </c:pt>
                <c:pt idx="4">
                  <c:v>0.16603773584905659</c:v>
                </c:pt>
                <c:pt idx="5">
                  <c:v>0.17735849056603772</c:v>
                </c:pt>
                <c:pt idx="6">
                  <c:v>0.15209125475285171</c:v>
                </c:pt>
                <c:pt idx="7">
                  <c:v>0.15209125475285171</c:v>
                </c:pt>
                <c:pt idx="8">
                  <c:v>0.12406015037593984</c:v>
                </c:pt>
                <c:pt idx="9">
                  <c:v>0.12643678160919541</c:v>
                </c:pt>
                <c:pt idx="10" formatCode="0%">
                  <c:v>0.13257575757575757</c:v>
                </c:pt>
                <c:pt idx="11" formatCode="0%">
                  <c:v>0.1348314606741573</c:v>
                </c:pt>
                <c:pt idx="12" formatCode="0%">
                  <c:v>0.15129151291512916</c:v>
                </c:pt>
              </c:numCache>
            </c:numRef>
          </c:val>
          <c:smooth val="0"/>
          <c:extLst>
            <c:ext xmlns:c16="http://schemas.microsoft.com/office/drawing/2014/chart" uri="{C3380CC4-5D6E-409C-BE32-E72D297353CC}">
              <c16:uniqueId val="{00000001-B11B-4153-B0A8-6730BBF51A45}"/>
            </c:ext>
          </c:extLst>
        </c:ser>
        <c:ser>
          <c:idx val="2"/>
          <c:order val="2"/>
          <c:tx>
            <c:strRef>
              <c:f>Sheet5!$C$24</c:f>
              <c:strCache>
                <c:ptCount val="1"/>
                <c:pt idx="0">
                  <c:v>8 Asthma review coded or proxy (inhaler technique) 12m</c:v>
                </c:pt>
              </c:strCache>
            </c:strRef>
          </c:tx>
          <c:spPr>
            <a:ln w="31750" cap="rnd">
              <a:solidFill>
                <a:schemeClr val="accent3"/>
              </a:solidFill>
              <a:round/>
            </a:ln>
            <a:effectLst/>
          </c:spPr>
          <c:marker>
            <c:symbol val="circle"/>
            <c:size val="17"/>
            <c:spPr>
              <a:solidFill>
                <a:schemeClr val="accent3"/>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2">
                        <a:lumMod val="1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Sheet5!$D$21:$P$21</c:f>
              <c:numCache>
                <c:formatCode>m/d/yyyy</c:formatCode>
                <c:ptCount val="13"/>
                <c:pt idx="0">
                  <c:v>44287</c:v>
                </c:pt>
                <c:pt idx="1">
                  <c:v>44317</c:v>
                </c:pt>
                <c:pt idx="2">
                  <c:v>44348</c:v>
                </c:pt>
                <c:pt idx="3">
                  <c:v>44378</c:v>
                </c:pt>
                <c:pt idx="4">
                  <c:v>44409</c:v>
                </c:pt>
                <c:pt idx="5">
                  <c:v>44440</c:v>
                </c:pt>
                <c:pt idx="6">
                  <c:v>44470</c:v>
                </c:pt>
                <c:pt idx="7">
                  <c:v>44501</c:v>
                </c:pt>
                <c:pt idx="8">
                  <c:v>44531</c:v>
                </c:pt>
                <c:pt idx="9">
                  <c:v>44562</c:v>
                </c:pt>
                <c:pt idx="10">
                  <c:v>44593</c:v>
                </c:pt>
                <c:pt idx="11">
                  <c:v>44621</c:v>
                </c:pt>
                <c:pt idx="12">
                  <c:v>44652</c:v>
                </c:pt>
              </c:numCache>
            </c:numRef>
          </c:cat>
          <c:val>
            <c:numRef>
              <c:f>Sheet5!$D$24:$P$24</c:f>
              <c:numCache>
                <c:formatCode>0.0%</c:formatCode>
                <c:ptCount val="13"/>
                <c:pt idx="0">
                  <c:v>0.70892018779342725</c:v>
                </c:pt>
                <c:pt idx="1">
                  <c:v>#N/A</c:v>
                </c:pt>
                <c:pt idx="2">
                  <c:v>#N/A</c:v>
                </c:pt>
                <c:pt idx="3">
                  <c:v>0.74384236453201968</c:v>
                </c:pt>
                <c:pt idx="4">
                  <c:v>0.71563981042654023</c:v>
                </c:pt>
                <c:pt idx="5">
                  <c:v>0.68571428571428572</c:v>
                </c:pt>
                <c:pt idx="6">
                  <c:v>0.68571428571428572</c:v>
                </c:pt>
                <c:pt idx="7">
                  <c:v>0.68571428571428572</c:v>
                </c:pt>
                <c:pt idx="8">
                  <c:v>0.53170731707317076</c:v>
                </c:pt>
                <c:pt idx="9">
                  <c:v>0.55665024630541871</c:v>
                </c:pt>
                <c:pt idx="10" formatCode="0%">
                  <c:v>0.55555555555555558</c:v>
                </c:pt>
                <c:pt idx="11" formatCode="0%">
                  <c:v>0.4854368932038835</c:v>
                </c:pt>
                <c:pt idx="12" formatCode="0%">
                  <c:v>0.64319248826291076</c:v>
                </c:pt>
              </c:numCache>
            </c:numRef>
          </c:val>
          <c:smooth val="0"/>
          <c:extLst>
            <c:ext xmlns:c16="http://schemas.microsoft.com/office/drawing/2014/chart" uri="{C3380CC4-5D6E-409C-BE32-E72D297353CC}">
              <c16:uniqueId val="{00000002-B11B-4153-B0A8-6730BBF51A45}"/>
            </c:ext>
          </c:extLst>
        </c:ser>
        <c:ser>
          <c:idx val="3"/>
          <c:order val="3"/>
          <c:tx>
            <c:strRef>
              <c:f>Sheet5!$C$25</c:f>
              <c:strCache>
                <c:ptCount val="1"/>
                <c:pt idx="0">
                  <c:v>11 ACT recorded</c:v>
                </c:pt>
              </c:strCache>
            </c:strRef>
          </c:tx>
          <c:spPr>
            <a:ln w="31750" cap="rnd">
              <a:solidFill>
                <a:schemeClr val="accent4"/>
              </a:solidFill>
              <a:round/>
            </a:ln>
            <a:effectLst/>
          </c:spPr>
          <c:marker>
            <c:symbol val="circle"/>
            <c:size val="17"/>
            <c:spPr>
              <a:solidFill>
                <a:schemeClr val="accent4"/>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2">
                        <a:lumMod val="1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Sheet5!$D$21:$P$21</c:f>
              <c:numCache>
                <c:formatCode>m/d/yyyy</c:formatCode>
                <c:ptCount val="13"/>
                <c:pt idx="0">
                  <c:v>44287</c:v>
                </c:pt>
                <c:pt idx="1">
                  <c:v>44317</c:v>
                </c:pt>
                <c:pt idx="2">
                  <c:v>44348</c:v>
                </c:pt>
                <c:pt idx="3">
                  <c:v>44378</c:v>
                </c:pt>
                <c:pt idx="4">
                  <c:v>44409</c:v>
                </c:pt>
                <c:pt idx="5">
                  <c:v>44440</c:v>
                </c:pt>
                <c:pt idx="6">
                  <c:v>44470</c:v>
                </c:pt>
                <c:pt idx="7">
                  <c:v>44501</c:v>
                </c:pt>
                <c:pt idx="8">
                  <c:v>44531</c:v>
                </c:pt>
                <c:pt idx="9">
                  <c:v>44562</c:v>
                </c:pt>
                <c:pt idx="10">
                  <c:v>44593</c:v>
                </c:pt>
                <c:pt idx="11">
                  <c:v>44621</c:v>
                </c:pt>
                <c:pt idx="12">
                  <c:v>44652</c:v>
                </c:pt>
              </c:numCache>
            </c:numRef>
          </c:cat>
          <c:val>
            <c:numRef>
              <c:f>Sheet5!$D$25:$P$25</c:f>
              <c:numCache>
                <c:formatCode>0.0%</c:formatCode>
                <c:ptCount val="13"/>
                <c:pt idx="0">
                  <c:v>0.9072847682119205</c:v>
                </c:pt>
                <c:pt idx="1">
                  <c:v>#N/A</c:v>
                </c:pt>
                <c:pt idx="2">
                  <c:v>#N/A</c:v>
                </c:pt>
                <c:pt idx="3">
                  <c:v>0.92715231788079466</c:v>
                </c:pt>
                <c:pt idx="4">
                  <c:v>0.92715231788079466</c:v>
                </c:pt>
                <c:pt idx="5">
                  <c:v>0.9375</c:v>
                </c:pt>
                <c:pt idx="6">
                  <c:v>0.98611111111111116</c:v>
                </c:pt>
                <c:pt idx="7">
                  <c:v>0.98611111111111116</c:v>
                </c:pt>
                <c:pt idx="8">
                  <c:v>0.97247706422018354</c:v>
                </c:pt>
                <c:pt idx="9">
                  <c:v>0.97345132743362828</c:v>
                </c:pt>
                <c:pt idx="10" formatCode="0%">
                  <c:v>0.97391304347826091</c:v>
                </c:pt>
                <c:pt idx="11" formatCode="0%">
                  <c:v>0.98</c:v>
                </c:pt>
                <c:pt idx="12" formatCode="0%">
                  <c:v>0.99270072992700731</c:v>
                </c:pt>
              </c:numCache>
            </c:numRef>
          </c:val>
          <c:smooth val="0"/>
          <c:extLst>
            <c:ext xmlns:c16="http://schemas.microsoft.com/office/drawing/2014/chart" uri="{C3380CC4-5D6E-409C-BE32-E72D297353CC}">
              <c16:uniqueId val="{00000003-B11B-4153-B0A8-6730BBF51A45}"/>
            </c:ext>
          </c:extLst>
        </c:ser>
        <c:ser>
          <c:idx val="4"/>
          <c:order val="4"/>
          <c:tx>
            <c:strRef>
              <c:f>Sheet5!$C$26</c:f>
              <c:strCache>
                <c:ptCount val="1"/>
                <c:pt idx="0">
                  <c:v>12 off target with clinical review(2)</c:v>
                </c:pt>
              </c:strCache>
            </c:strRef>
          </c:tx>
          <c:spPr>
            <a:ln w="31750" cap="rnd">
              <a:solidFill>
                <a:schemeClr val="accent5"/>
              </a:solidFill>
              <a:round/>
            </a:ln>
            <a:effectLst/>
          </c:spPr>
          <c:marker>
            <c:symbol val="circle"/>
            <c:size val="17"/>
            <c:spPr>
              <a:solidFill>
                <a:schemeClr val="accent5"/>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Sheet5!$D$21:$P$21</c:f>
              <c:numCache>
                <c:formatCode>m/d/yyyy</c:formatCode>
                <c:ptCount val="13"/>
                <c:pt idx="0">
                  <c:v>44287</c:v>
                </c:pt>
                <c:pt idx="1">
                  <c:v>44317</c:v>
                </c:pt>
                <c:pt idx="2">
                  <c:v>44348</c:v>
                </c:pt>
                <c:pt idx="3">
                  <c:v>44378</c:v>
                </c:pt>
                <c:pt idx="4">
                  <c:v>44409</c:v>
                </c:pt>
                <c:pt idx="5">
                  <c:v>44440</c:v>
                </c:pt>
                <c:pt idx="6">
                  <c:v>44470</c:v>
                </c:pt>
                <c:pt idx="7">
                  <c:v>44501</c:v>
                </c:pt>
                <c:pt idx="8">
                  <c:v>44531</c:v>
                </c:pt>
                <c:pt idx="9">
                  <c:v>44562</c:v>
                </c:pt>
                <c:pt idx="10">
                  <c:v>44593</c:v>
                </c:pt>
                <c:pt idx="11">
                  <c:v>44621</c:v>
                </c:pt>
                <c:pt idx="12">
                  <c:v>44652</c:v>
                </c:pt>
              </c:numCache>
            </c:numRef>
          </c:cat>
          <c:val>
            <c:numRef>
              <c:f>Sheet5!$D$26:$P$26</c:f>
              <c:numCache>
                <c:formatCode>0.0%</c:formatCode>
                <c:ptCount val="13"/>
                <c:pt idx="0">
                  <c:v>0.74714518760195758</c:v>
                </c:pt>
                <c:pt idx="1">
                  <c:v>#N/A</c:v>
                </c:pt>
                <c:pt idx="2">
                  <c:v>#N/A</c:v>
                </c:pt>
                <c:pt idx="3">
                  <c:v>0.70610687022900764</c:v>
                </c:pt>
                <c:pt idx="4">
                  <c:v>0.70476190476190481</c:v>
                </c:pt>
                <c:pt idx="5">
                  <c:v>0.69083969465648853</c:v>
                </c:pt>
                <c:pt idx="6">
                  <c:v>0.64849624060150379</c:v>
                </c:pt>
                <c:pt idx="7">
                  <c:v>0.64849624060150379</c:v>
                </c:pt>
                <c:pt idx="8">
                  <c:v>0.5533088235294118</c:v>
                </c:pt>
                <c:pt idx="9">
                  <c:v>0.54710144927536231</c:v>
                </c:pt>
                <c:pt idx="10" formatCode="0%">
                  <c:v>0.66216216216216217</c:v>
                </c:pt>
                <c:pt idx="11" formatCode="0%">
                  <c:v>0.64473684210526316</c:v>
                </c:pt>
                <c:pt idx="12" formatCode="0%">
                  <c:v>0.69529652351738236</c:v>
                </c:pt>
              </c:numCache>
            </c:numRef>
          </c:val>
          <c:smooth val="0"/>
          <c:extLst>
            <c:ext xmlns:c16="http://schemas.microsoft.com/office/drawing/2014/chart" uri="{C3380CC4-5D6E-409C-BE32-E72D297353CC}">
              <c16:uniqueId val="{00000000-4765-4AB1-BF64-6911B45B4130}"/>
            </c:ext>
          </c:extLst>
        </c:ser>
        <c:dLbls>
          <c:dLblPos val="ctr"/>
          <c:showLegendKey val="0"/>
          <c:showVal val="1"/>
          <c:showCatName val="0"/>
          <c:showSerName val="0"/>
          <c:showPercent val="0"/>
          <c:showBubbleSize val="0"/>
        </c:dLbls>
        <c:marker val="1"/>
        <c:smooth val="0"/>
        <c:axId val="1274246175"/>
        <c:axId val="1274242431"/>
      </c:lineChart>
      <c:dateAx>
        <c:axId val="1274246175"/>
        <c:scaling>
          <c:orientation val="minMax"/>
        </c:scaling>
        <c:delete val="0"/>
        <c:axPos val="b"/>
        <c:numFmt formatCode="m/d/yyyy" sourceLinked="1"/>
        <c:majorTickMark val="out"/>
        <c:minorTickMark val="out"/>
        <c:tickLblPos val="low"/>
        <c:spPr>
          <a:noFill/>
          <a:ln w="19050" cap="flat" cmpd="sng" algn="ctr">
            <a:solidFill>
              <a:srgbClr val="00B0F0"/>
            </a:solidFill>
            <a:round/>
          </a:ln>
          <a:effectLst/>
        </c:spPr>
        <c:txPr>
          <a:bodyPr rot="-60000000" spcFirstLastPara="1" vertOverflow="ellipsis" vert="horz" wrap="square" anchor="ctr" anchorCtr="1"/>
          <a:lstStyle/>
          <a:p>
            <a:pPr>
              <a:defRPr sz="900" b="0" i="0" u="none" strike="noStrike" kern="1200" cap="all" baseline="0">
                <a:solidFill>
                  <a:schemeClr val="dk1">
                    <a:lumMod val="75000"/>
                    <a:lumOff val="25000"/>
                  </a:schemeClr>
                </a:solidFill>
                <a:latin typeface="+mn-lt"/>
                <a:ea typeface="+mn-ea"/>
                <a:cs typeface="+mn-cs"/>
              </a:defRPr>
            </a:pPr>
            <a:endParaRPr lang="en-US"/>
          </a:p>
        </c:txPr>
        <c:crossAx val="1274242431"/>
        <c:crosses val="autoZero"/>
        <c:auto val="1"/>
        <c:lblOffset val="100"/>
        <c:baseTimeUnit val="months"/>
      </c:dateAx>
      <c:valAx>
        <c:axId val="1274242431"/>
        <c:scaling>
          <c:orientation val="minMax"/>
        </c:scaling>
        <c:delete val="0"/>
        <c:axPos val="l"/>
        <c:numFmt formatCode="0.0%" sourceLinked="1"/>
        <c:majorTickMark val="out"/>
        <c:minorTickMark val="out"/>
        <c:tickLblPos val="nextTo"/>
        <c:spPr>
          <a:noFill/>
          <a:ln w="19050">
            <a:solidFill>
              <a:srgbClr val="5B9BD5"/>
            </a:solidFill>
          </a:ln>
          <a:effectLst/>
        </c:spPr>
        <c:txPr>
          <a:bodyPr rot="-60000000" spcFirstLastPara="1" vertOverflow="ellipsis" vert="horz" wrap="square" anchor="ctr" anchorCtr="1"/>
          <a:lstStyle/>
          <a:p>
            <a:pPr>
              <a:defRPr sz="900" b="1" i="0" u="none" strike="noStrike" kern="1200" baseline="0">
                <a:solidFill>
                  <a:schemeClr val="dk1">
                    <a:lumMod val="75000"/>
                    <a:lumOff val="25000"/>
                  </a:schemeClr>
                </a:solidFill>
                <a:latin typeface="+mn-lt"/>
                <a:ea typeface="+mn-ea"/>
                <a:cs typeface="+mn-cs"/>
              </a:defRPr>
            </a:pPr>
            <a:endParaRPr lang="en-US"/>
          </a:p>
        </c:txPr>
        <c:crossAx val="1274246175"/>
        <c:crosses val="autoZero"/>
        <c:crossBetween val="between"/>
      </c:valAx>
      <c:spPr>
        <a:solidFill>
          <a:srgbClr val="D3E3E5"/>
        </a:solidFill>
        <a:ln>
          <a:noFill/>
        </a:ln>
        <a:effectLst/>
      </c:spPr>
    </c:plotArea>
    <c:plotVisOnly val="1"/>
    <c:dispBlanksAs val="gap"/>
    <c:showDLblsOverMax val="0"/>
  </c:chart>
  <c:spPr>
    <a:solidFill>
      <a:sysClr val="window" lastClr="FFFFFF"/>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r>
              <a:rPr lang="en-GB"/>
              <a:t>Monthly</a:t>
            </a:r>
            <a:r>
              <a:rPr lang="en-GB" baseline="0"/>
              <a:t> cumulative</a:t>
            </a:r>
            <a:endParaRPr lang="en-GB"/>
          </a:p>
        </c:rich>
      </c:tx>
      <c:overlay val="0"/>
      <c:spPr>
        <a:solidFill>
          <a:srgbClr val="E7E6E6">
            <a:lumMod val="90000"/>
          </a:srgbClr>
        </a:solidFill>
        <a:ln>
          <a:noFill/>
        </a:ln>
        <a:effectLst/>
      </c:spPr>
      <c:txPr>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endParaRPr lang="en-US"/>
        </a:p>
      </c:txPr>
    </c:title>
    <c:autoTitleDeleted val="0"/>
    <c:plotArea>
      <c:layout/>
      <c:lineChart>
        <c:grouping val="standard"/>
        <c:varyColors val="0"/>
        <c:ser>
          <c:idx val="0"/>
          <c:order val="0"/>
          <c:tx>
            <c:strRef>
              <c:f>Sheet5!$C$22</c:f>
              <c:strCache>
                <c:ptCount val="1"/>
                <c:pt idx="0">
                  <c:v>1 Diabetes review recorded or proxy 12m</c:v>
                </c:pt>
              </c:strCache>
            </c:strRef>
          </c:tx>
          <c:spPr>
            <a:ln w="31750" cap="rnd">
              <a:solidFill>
                <a:schemeClr val="accent1"/>
              </a:solidFill>
              <a:round/>
            </a:ln>
            <a:effectLst/>
          </c:spPr>
          <c:marker>
            <c:symbol val="circle"/>
            <c:size val="17"/>
            <c:spPr>
              <a:solidFill>
                <a:schemeClr val="accent1"/>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Sheet5!$D$21:$J$21</c:f>
              <c:numCache>
                <c:formatCode>m/d/yyyy</c:formatCode>
                <c:ptCount val="7"/>
                <c:pt idx="0">
                  <c:v>44287</c:v>
                </c:pt>
                <c:pt idx="1">
                  <c:v>44317</c:v>
                </c:pt>
                <c:pt idx="2">
                  <c:v>44348</c:v>
                </c:pt>
                <c:pt idx="3">
                  <c:v>44378</c:v>
                </c:pt>
                <c:pt idx="4">
                  <c:v>44409</c:v>
                </c:pt>
                <c:pt idx="5">
                  <c:v>44440</c:v>
                </c:pt>
                <c:pt idx="6">
                  <c:v>44470</c:v>
                </c:pt>
              </c:numCache>
            </c:numRef>
          </c:cat>
          <c:val>
            <c:numRef>
              <c:f>Sheet5!$D$22:$J$22</c:f>
              <c:numCache>
                <c:formatCode>0.0%</c:formatCode>
                <c:ptCount val="7"/>
                <c:pt idx="0">
                  <c:v>0.59944751381215466</c:v>
                </c:pt>
                <c:pt idx="1">
                  <c:v>#N/A</c:v>
                </c:pt>
                <c:pt idx="2">
                  <c:v>#N/A</c:v>
                </c:pt>
                <c:pt idx="3">
                  <c:v>0.7325905292479109</c:v>
                </c:pt>
                <c:pt idx="4">
                  <c:v>0.78116343490304707</c:v>
                </c:pt>
                <c:pt idx="5">
                  <c:v>0.74861878453038677</c:v>
                </c:pt>
                <c:pt idx="6">
                  <c:v>0.72876712328767124</c:v>
                </c:pt>
              </c:numCache>
            </c:numRef>
          </c:val>
          <c:smooth val="0"/>
          <c:extLst>
            <c:ext xmlns:c16="http://schemas.microsoft.com/office/drawing/2014/chart" uri="{C3380CC4-5D6E-409C-BE32-E72D297353CC}">
              <c16:uniqueId val="{00000000-9623-432F-91A0-241BD92D5742}"/>
            </c:ext>
          </c:extLst>
        </c:ser>
        <c:ser>
          <c:idx val="1"/>
          <c:order val="1"/>
          <c:tx>
            <c:strRef>
              <c:f>Sheet5!$C$23</c:f>
              <c:strCache>
                <c:ptCount val="1"/>
                <c:pt idx="0">
                  <c:v>3 Triple target achieved</c:v>
                </c:pt>
              </c:strCache>
            </c:strRef>
          </c:tx>
          <c:spPr>
            <a:ln w="31750" cap="rnd">
              <a:solidFill>
                <a:schemeClr val="accent2"/>
              </a:solidFill>
              <a:round/>
            </a:ln>
            <a:effectLst/>
          </c:spPr>
          <c:marker>
            <c:symbol val="circle"/>
            <c:size val="17"/>
            <c:spPr>
              <a:solidFill>
                <a:schemeClr val="accent2"/>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Sheet5!$D$21:$J$21</c:f>
              <c:numCache>
                <c:formatCode>m/d/yyyy</c:formatCode>
                <c:ptCount val="7"/>
                <c:pt idx="0">
                  <c:v>44287</c:v>
                </c:pt>
                <c:pt idx="1">
                  <c:v>44317</c:v>
                </c:pt>
                <c:pt idx="2">
                  <c:v>44348</c:v>
                </c:pt>
                <c:pt idx="3">
                  <c:v>44378</c:v>
                </c:pt>
                <c:pt idx="4">
                  <c:v>44409</c:v>
                </c:pt>
                <c:pt idx="5">
                  <c:v>44440</c:v>
                </c:pt>
                <c:pt idx="6">
                  <c:v>44470</c:v>
                </c:pt>
              </c:numCache>
            </c:numRef>
          </c:cat>
          <c:val>
            <c:numRef>
              <c:f>Sheet5!$D$23:$J$23</c:f>
              <c:numCache>
                <c:formatCode>0.0%</c:formatCode>
                <c:ptCount val="7"/>
                <c:pt idx="0">
                  <c:v>0</c:v>
                </c:pt>
                <c:pt idx="1">
                  <c:v>#N/A</c:v>
                </c:pt>
                <c:pt idx="2">
                  <c:v>#N/A</c:v>
                </c:pt>
                <c:pt idx="3">
                  <c:v>0.14828897338403041</c:v>
                </c:pt>
                <c:pt idx="4">
                  <c:v>0.16603773584905659</c:v>
                </c:pt>
                <c:pt idx="5">
                  <c:v>0.17735849056603772</c:v>
                </c:pt>
                <c:pt idx="6">
                  <c:v>0.15209125475285171</c:v>
                </c:pt>
              </c:numCache>
            </c:numRef>
          </c:val>
          <c:smooth val="0"/>
          <c:extLst>
            <c:ext xmlns:c16="http://schemas.microsoft.com/office/drawing/2014/chart" uri="{C3380CC4-5D6E-409C-BE32-E72D297353CC}">
              <c16:uniqueId val="{00000001-9623-432F-91A0-241BD92D5742}"/>
            </c:ext>
          </c:extLst>
        </c:ser>
        <c:ser>
          <c:idx val="2"/>
          <c:order val="2"/>
          <c:tx>
            <c:strRef>
              <c:f>Sheet5!$C$25</c:f>
              <c:strCache>
                <c:ptCount val="1"/>
                <c:pt idx="0">
                  <c:v>11 ACT recorded</c:v>
                </c:pt>
              </c:strCache>
            </c:strRef>
          </c:tx>
          <c:spPr>
            <a:ln w="31750" cap="rnd">
              <a:solidFill>
                <a:schemeClr val="accent3"/>
              </a:solidFill>
              <a:round/>
            </a:ln>
            <a:effectLst/>
          </c:spPr>
          <c:marker>
            <c:symbol val="circle"/>
            <c:size val="17"/>
            <c:spPr>
              <a:solidFill>
                <a:schemeClr val="accent3"/>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2">
                        <a:lumMod val="1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Sheet5!$D$21:$J$21</c:f>
              <c:numCache>
                <c:formatCode>m/d/yyyy</c:formatCode>
                <c:ptCount val="7"/>
                <c:pt idx="0">
                  <c:v>44287</c:v>
                </c:pt>
                <c:pt idx="1">
                  <c:v>44317</c:v>
                </c:pt>
                <c:pt idx="2">
                  <c:v>44348</c:v>
                </c:pt>
                <c:pt idx="3">
                  <c:v>44378</c:v>
                </c:pt>
                <c:pt idx="4">
                  <c:v>44409</c:v>
                </c:pt>
                <c:pt idx="5">
                  <c:v>44440</c:v>
                </c:pt>
                <c:pt idx="6">
                  <c:v>44470</c:v>
                </c:pt>
              </c:numCache>
            </c:numRef>
          </c:cat>
          <c:val>
            <c:numRef>
              <c:f>Sheet5!$D$25:$J$25</c:f>
              <c:numCache>
                <c:formatCode>0.0%</c:formatCode>
                <c:ptCount val="7"/>
                <c:pt idx="0">
                  <c:v>0.9072847682119205</c:v>
                </c:pt>
                <c:pt idx="1">
                  <c:v>#N/A</c:v>
                </c:pt>
                <c:pt idx="2">
                  <c:v>#N/A</c:v>
                </c:pt>
                <c:pt idx="3">
                  <c:v>0.92715231788079466</c:v>
                </c:pt>
                <c:pt idx="4">
                  <c:v>0.92715231788079466</c:v>
                </c:pt>
                <c:pt idx="5">
                  <c:v>0.9375</c:v>
                </c:pt>
                <c:pt idx="6">
                  <c:v>0.98611111111111116</c:v>
                </c:pt>
              </c:numCache>
            </c:numRef>
          </c:val>
          <c:smooth val="0"/>
          <c:extLst>
            <c:ext xmlns:c16="http://schemas.microsoft.com/office/drawing/2014/chart" uri="{C3380CC4-5D6E-409C-BE32-E72D297353CC}">
              <c16:uniqueId val="{00000002-9623-432F-91A0-241BD92D5742}"/>
            </c:ext>
          </c:extLst>
        </c:ser>
        <c:ser>
          <c:idx val="3"/>
          <c:order val="3"/>
          <c:tx>
            <c:strRef>
              <c:f>Sheet5!$C$26</c:f>
              <c:strCache>
                <c:ptCount val="1"/>
                <c:pt idx="0">
                  <c:v>12 off target with clinical review(2)</c:v>
                </c:pt>
              </c:strCache>
            </c:strRef>
          </c:tx>
          <c:spPr>
            <a:ln w="31750" cap="rnd">
              <a:solidFill>
                <a:schemeClr val="accent4"/>
              </a:solidFill>
              <a:round/>
            </a:ln>
            <a:effectLst/>
          </c:spPr>
          <c:marker>
            <c:symbol val="circle"/>
            <c:size val="17"/>
            <c:spPr>
              <a:solidFill>
                <a:schemeClr val="accent4"/>
              </a:solidFill>
              <a:ln>
                <a:noFill/>
              </a:ln>
              <a:effectLst/>
            </c:spPr>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accent6">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Sheet5!$D$21:$J$21</c:f>
              <c:numCache>
                <c:formatCode>m/d/yyyy</c:formatCode>
                <c:ptCount val="7"/>
                <c:pt idx="0">
                  <c:v>44287</c:v>
                </c:pt>
                <c:pt idx="1">
                  <c:v>44317</c:v>
                </c:pt>
                <c:pt idx="2">
                  <c:v>44348</c:v>
                </c:pt>
                <c:pt idx="3">
                  <c:v>44378</c:v>
                </c:pt>
                <c:pt idx="4">
                  <c:v>44409</c:v>
                </c:pt>
                <c:pt idx="5">
                  <c:v>44440</c:v>
                </c:pt>
                <c:pt idx="6">
                  <c:v>44470</c:v>
                </c:pt>
              </c:numCache>
            </c:numRef>
          </c:cat>
          <c:val>
            <c:numRef>
              <c:f>Sheet5!$D$26:$J$26</c:f>
              <c:numCache>
                <c:formatCode>0.0%</c:formatCode>
                <c:ptCount val="7"/>
                <c:pt idx="0">
                  <c:v>0.74714518760195758</c:v>
                </c:pt>
                <c:pt idx="1">
                  <c:v>#N/A</c:v>
                </c:pt>
                <c:pt idx="2">
                  <c:v>#N/A</c:v>
                </c:pt>
                <c:pt idx="3">
                  <c:v>0.70610687022900764</c:v>
                </c:pt>
                <c:pt idx="4">
                  <c:v>0.70476190476190481</c:v>
                </c:pt>
                <c:pt idx="5">
                  <c:v>0.69083969465648853</c:v>
                </c:pt>
                <c:pt idx="6">
                  <c:v>0.64849624060150379</c:v>
                </c:pt>
              </c:numCache>
            </c:numRef>
          </c:val>
          <c:smooth val="0"/>
          <c:extLst>
            <c:ext xmlns:c16="http://schemas.microsoft.com/office/drawing/2014/chart" uri="{C3380CC4-5D6E-409C-BE32-E72D297353CC}">
              <c16:uniqueId val="{00000003-9623-432F-91A0-241BD92D5742}"/>
            </c:ext>
          </c:extLst>
        </c:ser>
        <c:dLbls>
          <c:dLblPos val="ctr"/>
          <c:showLegendKey val="0"/>
          <c:showVal val="1"/>
          <c:showCatName val="0"/>
          <c:showSerName val="0"/>
          <c:showPercent val="0"/>
          <c:showBubbleSize val="0"/>
        </c:dLbls>
        <c:marker val="1"/>
        <c:smooth val="0"/>
        <c:axId val="1274246175"/>
        <c:axId val="1274242431"/>
      </c:lineChart>
      <c:dateAx>
        <c:axId val="1274246175"/>
        <c:scaling>
          <c:orientation val="minMax"/>
        </c:scaling>
        <c:delete val="0"/>
        <c:axPos val="b"/>
        <c:numFmt formatCode="m/d/yyyy" sourceLinked="1"/>
        <c:majorTickMark val="out"/>
        <c:minorTickMark val="none"/>
        <c:tickLblPos val="nextTo"/>
        <c:spPr>
          <a:noFill/>
          <a:ln w="19050" cap="flat" cmpd="sng" algn="ctr">
            <a:solidFill>
              <a:schemeClr val="dk1">
                <a:lumMod val="75000"/>
                <a:lumOff val="25000"/>
              </a:schemeClr>
            </a:solidFill>
            <a:round/>
          </a:ln>
          <a:effectLst/>
        </c:spPr>
        <c:txPr>
          <a:bodyPr rot="-60000000" spcFirstLastPara="1" vertOverflow="ellipsis" vert="horz" wrap="square" anchor="ctr" anchorCtr="1"/>
          <a:lstStyle/>
          <a:p>
            <a:pPr>
              <a:defRPr sz="900" b="0" i="0" u="none" strike="noStrike" kern="1200" cap="all" baseline="0">
                <a:solidFill>
                  <a:schemeClr val="dk1">
                    <a:lumMod val="75000"/>
                    <a:lumOff val="25000"/>
                  </a:schemeClr>
                </a:solidFill>
                <a:latin typeface="+mn-lt"/>
                <a:ea typeface="+mn-ea"/>
                <a:cs typeface="+mn-cs"/>
              </a:defRPr>
            </a:pPr>
            <a:endParaRPr lang="en-US"/>
          </a:p>
        </c:txPr>
        <c:crossAx val="1274242431"/>
        <c:crosses val="autoZero"/>
        <c:auto val="1"/>
        <c:lblOffset val="100"/>
        <c:baseTimeUnit val="months"/>
      </c:dateAx>
      <c:valAx>
        <c:axId val="1274242431"/>
        <c:scaling>
          <c:orientation val="minMax"/>
        </c:scaling>
        <c:delete val="0"/>
        <c:axPos val="l"/>
        <c:numFmt formatCode="0.0%" sourceLinked="1"/>
        <c:majorTickMark val="out"/>
        <c:minorTickMark val="out"/>
        <c:tickLblPos val="nextTo"/>
        <c:spPr>
          <a:noFill/>
          <a:ln w="12700">
            <a:solidFill>
              <a:schemeClr val="accent1"/>
            </a:solidFill>
          </a:ln>
          <a:effectLst/>
        </c:spPr>
        <c:txPr>
          <a:bodyPr rot="-6000000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en-US"/>
          </a:p>
        </c:txPr>
        <c:crossAx val="1274246175"/>
        <c:crosses val="autoZero"/>
        <c:crossBetween val="between"/>
      </c:valAx>
      <c:spPr>
        <a:solidFill>
          <a:schemeClr val="bg1">
            <a:lumMod val="85000"/>
          </a:schemeClr>
        </a:solidFill>
        <a:ln>
          <a:noFill/>
        </a:ln>
        <a:effectLst/>
      </c:spPr>
    </c:plotArea>
    <c:legend>
      <c:legendPos val="b"/>
      <c:overlay val="0"/>
      <c:spPr>
        <a:solidFill>
          <a:schemeClr val="lt1">
            <a:lumMod val="95000"/>
            <a:alpha val="39000"/>
          </a:schemeClr>
        </a:solidFill>
        <a:ln>
          <a:noFill/>
        </a:ln>
        <a:effectLst/>
      </c:spPr>
      <c:txPr>
        <a:bodyPr rot="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en-US"/>
        </a:p>
      </c:txPr>
    </c:legend>
    <c:plotVisOnly val="1"/>
    <c:dispBlanksAs val="gap"/>
    <c:showDLblsOverMax val="0"/>
  </c:chart>
  <c:spPr>
    <a:solidFill>
      <a:sysClr val="window" lastClr="FFFFFF">
        <a:lumMod val="85000"/>
      </a:sysClr>
    </a:solidFill>
    <a:ln w="9525" cap="flat" cmpd="sng" algn="ctr">
      <a:solidFill>
        <a:schemeClr val="dk1">
          <a:lumMod val="25000"/>
          <a:lumOff val="75000"/>
        </a:schemeClr>
      </a:solidFill>
      <a:round/>
    </a:ln>
    <a:effectLst/>
  </c:spPr>
  <c:txPr>
    <a:bodyPr/>
    <a:lstStyle/>
    <a:p>
      <a:pPr>
        <a:defRPr/>
      </a:pPr>
      <a:endParaRPr lang="en-US"/>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pivotSource>
    <c:name>[WF LTC SNS 01-04-2022.xlsx]A. Chart Data!PivotTable10</c:name>
    <c:fmtId val="2"/>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Diabetes Review Recorded</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8"/>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9"/>
        <c:spPr>
          <a:ln w="28575" cap="rnd">
            <a:solidFill>
              <a:schemeClr val="accent3"/>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strRef>
              <c:f>'A. Chart Data'!$M$30:$M$32</c:f>
              <c:strCache>
                <c:ptCount val="1"/>
                <c:pt idx="0">
                  <c:v> Crawley Road Medical Centre - Diabetes Review %</c:v>
                </c:pt>
              </c:strCache>
            </c:strRef>
          </c:tx>
          <c:spPr>
            <a:ln w="28575" cap="rnd">
              <a:solidFill>
                <a:schemeClr val="accent1"/>
              </a:solidFill>
              <a:round/>
            </a:ln>
            <a:effectLst/>
          </c:spPr>
          <c:marker>
            <c:symbol val="none"/>
          </c:marker>
          <c:cat>
            <c:strRef>
              <c:f>'A. Chart Data'!$L$33:$L$46</c:f>
              <c:strCache>
                <c:ptCount val="13"/>
                <c:pt idx="0">
                  <c:v>01/04/2021</c:v>
                </c:pt>
                <c:pt idx="1">
                  <c:v>01/05/2021</c:v>
                </c:pt>
                <c:pt idx="2">
                  <c:v>01/06/2021</c:v>
                </c:pt>
                <c:pt idx="3">
                  <c:v>01/07/2021</c:v>
                </c:pt>
                <c:pt idx="4">
                  <c:v>01/08/2021</c:v>
                </c:pt>
                <c:pt idx="5">
                  <c:v>01/09/2021</c:v>
                </c:pt>
                <c:pt idx="6">
                  <c:v>01/10/2021</c:v>
                </c:pt>
                <c:pt idx="7">
                  <c:v>01/11/2021</c:v>
                </c:pt>
                <c:pt idx="8">
                  <c:v>01/12/2021</c:v>
                </c:pt>
                <c:pt idx="9">
                  <c:v>01/01/2022</c:v>
                </c:pt>
                <c:pt idx="10">
                  <c:v>01/02/2022</c:v>
                </c:pt>
                <c:pt idx="11">
                  <c:v>01/03/2022</c:v>
                </c:pt>
                <c:pt idx="12">
                  <c:v>01/04/2022</c:v>
                </c:pt>
              </c:strCache>
            </c:strRef>
          </c:cat>
          <c:val>
            <c:numRef>
              <c:f>'A. Chart Data'!$M$33:$M$46</c:f>
              <c:numCache>
                <c:formatCode>General</c:formatCode>
                <c:ptCount val="13"/>
                <c:pt idx="0">
                  <c:v>0.54261363636363635</c:v>
                </c:pt>
                <c:pt idx="1">
                  <c:v>0.57471264367816088</c:v>
                </c:pt>
                <c:pt idx="2">
                  <c:v>0.58757062146892658</c:v>
                </c:pt>
                <c:pt idx="3">
                  <c:v>0.53714285714285714</c:v>
                </c:pt>
                <c:pt idx="4">
                  <c:v>0.60563380281690138</c:v>
                </c:pt>
                <c:pt idx="5">
                  <c:v>0.67590027700831024</c:v>
                </c:pt>
                <c:pt idx="6">
                  <c:v>0.71195652173913049</c:v>
                </c:pt>
                <c:pt idx="7">
                  <c:v>0.73854447439353099</c:v>
                </c:pt>
                <c:pt idx="8">
                  <c:v>0.76693766937669372</c:v>
                </c:pt>
                <c:pt idx="9">
                  <c:v>0.75871313672922247</c:v>
                </c:pt>
                <c:pt idx="10">
                  <c:v>0.79629629629629628</c:v>
                </c:pt>
                <c:pt idx="11">
                  <c:v>0.81723237597911225</c:v>
                </c:pt>
                <c:pt idx="12">
                  <c:v>0.82697201017811706</c:v>
                </c:pt>
              </c:numCache>
            </c:numRef>
          </c:val>
          <c:smooth val="0"/>
          <c:extLst>
            <c:ext xmlns:c16="http://schemas.microsoft.com/office/drawing/2014/chart" uri="{C3380CC4-5D6E-409C-BE32-E72D297353CC}">
              <c16:uniqueId val="{00000001-E43E-4C91-B6B0-A91DA991E768}"/>
            </c:ext>
          </c:extLst>
        </c:ser>
        <c:ser>
          <c:idx val="1"/>
          <c:order val="1"/>
          <c:tx>
            <c:strRef>
              <c:f>'A. Chart Data'!$N$30:$N$32</c:f>
              <c:strCache>
                <c:ptCount val="1"/>
                <c:pt idx="0">
                  <c:v> Crawley Road Medical Centre - Target 60%</c:v>
                </c:pt>
              </c:strCache>
            </c:strRef>
          </c:tx>
          <c:spPr>
            <a:ln w="28575" cap="rnd">
              <a:solidFill>
                <a:schemeClr val="accent3"/>
              </a:solidFill>
              <a:round/>
            </a:ln>
            <a:effectLst/>
          </c:spPr>
          <c:marker>
            <c:symbol val="none"/>
          </c:marker>
          <c:cat>
            <c:strRef>
              <c:f>'A. Chart Data'!$L$33:$L$46</c:f>
              <c:strCache>
                <c:ptCount val="13"/>
                <c:pt idx="0">
                  <c:v>01/04/2021</c:v>
                </c:pt>
                <c:pt idx="1">
                  <c:v>01/05/2021</c:v>
                </c:pt>
                <c:pt idx="2">
                  <c:v>01/06/2021</c:v>
                </c:pt>
                <c:pt idx="3">
                  <c:v>01/07/2021</c:v>
                </c:pt>
                <c:pt idx="4">
                  <c:v>01/08/2021</c:v>
                </c:pt>
                <c:pt idx="5">
                  <c:v>01/09/2021</c:v>
                </c:pt>
                <c:pt idx="6">
                  <c:v>01/10/2021</c:v>
                </c:pt>
                <c:pt idx="7">
                  <c:v>01/11/2021</c:v>
                </c:pt>
                <c:pt idx="8">
                  <c:v>01/12/2021</c:v>
                </c:pt>
                <c:pt idx="9">
                  <c:v>01/01/2022</c:v>
                </c:pt>
                <c:pt idx="10">
                  <c:v>01/02/2022</c:v>
                </c:pt>
                <c:pt idx="11">
                  <c:v>01/03/2022</c:v>
                </c:pt>
                <c:pt idx="12">
                  <c:v>01/04/2022</c:v>
                </c:pt>
              </c:strCache>
            </c:strRef>
          </c:cat>
          <c:val>
            <c:numRef>
              <c:f>'A. Chart Data'!$N$33:$N$46</c:f>
              <c:numCache>
                <c:formatCode>General</c:formatCode>
                <c:ptCount val="13"/>
                <c:pt idx="0">
                  <c:v>0.6</c:v>
                </c:pt>
                <c:pt idx="1">
                  <c:v>0.6</c:v>
                </c:pt>
                <c:pt idx="2">
                  <c:v>0.6</c:v>
                </c:pt>
                <c:pt idx="3">
                  <c:v>0.6</c:v>
                </c:pt>
                <c:pt idx="4">
                  <c:v>0.6</c:v>
                </c:pt>
                <c:pt idx="5">
                  <c:v>0.6</c:v>
                </c:pt>
                <c:pt idx="6">
                  <c:v>0.6</c:v>
                </c:pt>
                <c:pt idx="7">
                  <c:v>0.6</c:v>
                </c:pt>
                <c:pt idx="8">
                  <c:v>0.6</c:v>
                </c:pt>
                <c:pt idx="9">
                  <c:v>0.6</c:v>
                </c:pt>
                <c:pt idx="10">
                  <c:v>0.6</c:v>
                </c:pt>
                <c:pt idx="11">
                  <c:v>0.6</c:v>
                </c:pt>
                <c:pt idx="12">
                  <c:v>0.6</c:v>
                </c:pt>
              </c:numCache>
            </c:numRef>
          </c:val>
          <c:smooth val="0"/>
          <c:extLst>
            <c:ext xmlns:c16="http://schemas.microsoft.com/office/drawing/2014/chart" uri="{C3380CC4-5D6E-409C-BE32-E72D297353CC}">
              <c16:uniqueId val="{00000002-E43E-4C91-B6B0-A91DA991E768}"/>
            </c:ext>
          </c:extLst>
        </c:ser>
        <c:dLbls>
          <c:showLegendKey val="0"/>
          <c:showVal val="0"/>
          <c:showCatName val="0"/>
          <c:showSerName val="0"/>
          <c:showPercent val="0"/>
          <c:showBubbleSize val="0"/>
        </c:dLbls>
        <c:smooth val="0"/>
        <c:axId val="319125151"/>
        <c:axId val="319118495"/>
      </c:lineChart>
      <c:catAx>
        <c:axId val="31912515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18495"/>
        <c:crosses val="autoZero"/>
        <c:auto val="1"/>
        <c:lblAlgn val="ctr"/>
        <c:lblOffset val="100"/>
        <c:noMultiLvlLbl val="0"/>
      </c:catAx>
      <c:valAx>
        <c:axId val="319118495"/>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251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pivotSource>
    <c:name>[WF LTC SNS 01-04-2022.xlsx]A. Chart Data!PivotTable11</c:name>
    <c:fmtId val="2"/>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Triple</a:t>
            </a:r>
            <a:r>
              <a:rPr lang="en-US" baseline="0"/>
              <a:t> Target</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6"/>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7"/>
        <c:spPr>
          <a:ln w="28575" cap="rnd">
            <a:solidFill>
              <a:schemeClr val="accent3"/>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strRef>
              <c:f>'A. Chart Data'!$G$53:$G$55</c:f>
              <c:strCache>
                <c:ptCount val="1"/>
                <c:pt idx="0">
                  <c:v> Crawley Road Medical Centre - Triple Target %</c:v>
                </c:pt>
              </c:strCache>
            </c:strRef>
          </c:tx>
          <c:spPr>
            <a:ln w="28575" cap="rnd">
              <a:solidFill>
                <a:schemeClr val="accent1"/>
              </a:solidFill>
              <a:round/>
            </a:ln>
            <a:effectLst/>
          </c:spPr>
          <c:marker>
            <c:symbol val="none"/>
          </c:marker>
          <c:cat>
            <c:strRef>
              <c:f>'A. Chart Data'!$F$56:$F$69</c:f>
              <c:strCache>
                <c:ptCount val="13"/>
                <c:pt idx="0">
                  <c:v>01/04/2021</c:v>
                </c:pt>
                <c:pt idx="1">
                  <c:v>01/05/2021</c:v>
                </c:pt>
                <c:pt idx="2">
                  <c:v>01/06/2021</c:v>
                </c:pt>
                <c:pt idx="3">
                  <c:v>01/07/2021</c:v>
                </c:pt>
                <c:pt idx="4">
                  <c:v>01/08/2021</c:v>
                </c:pt>
                <c:pt idx="5">
                  <c:v>01/09/2021</c:v>
                </c:pt>
                <c:pt idx="6">
                  <c:v>01/10/2021</c:v>
                </c:pt>
                <c:pt idx="7">
                  <c:v>01/11/2021</c:v>
                </c:pt>
                <c:pt idx="8">
                  <c:v>01/12/2021</c:v>
                </c:pt>
                <c:pt idx="9">
                  <c:v>01/01/2022</c:v>
                </c:pt>
                <c:pt idx="10">
                  <c:v>01/02/2022</c:v>
                </c:pt>
                <c:pt idx="11">
                  <c:v>01/03/2022</c:v>
                </c:pt>
                <c:pt idx="12">
                  <c:v>01/04/2022</c:v>
                </c:pt>
              </c:strCache>
            </c:strRef>
          </c:cat>
          <c:val>
            <c:numRef>
              <c:f>'A. Chart Data'!$G$56:$G$69</c:f>
              <c:numCache>
                <c:formatCode>General</c:formatCode>
                <c:ptCount val="13"/>
                <c:pt idx="0">
                  <c:v>7.0175438596491224E-2</c:v>
                </c:pt>
                <c:pt idx="1">
                  <c:v>0.12</c:v>
                </c:pt>
                <c:pt idx="2">
                  <c:v>8.7155963302752298E-2</c:v>
                </c:pt>
                <c:pt idx="3">
                  <c:v>6.3926940639269403E-2</c:v>
                </c:pt>
                <c:pt idx="4">
                  <c:v>6.8493150684931503E-2</c:v>
                </c:pt>
                <c:pt idx="5">
                  <c:v>6.6666666666666666E-2</c:v>
                </c:pt>
                <c:pt idx="6">
                  <c:v>6.6985645933014357E-2</c:v>
                </c:pt>
                <c:pt idx="7">
                  <c:v>9.004739336492891E-2</c:v>
                </c:pt>
                <c:pt idx="8">
                  <c:v>0.10648148148148148</c:v>
                </c:pt>
                <c:pt idx="9">
                  <c:v>0.11255411255411256</c:v>
                </c:pt>
                <c:pt idx="10">
                  <c:v>0.11814345991561181</c:v>
                </c:pt>
                <c:pt idx="11">
                  <c:v>0.12448132780082988</c:v>
                </c:pt>
                <c:pt idx="12">
                  <c:v>0.13306451612903225</c:v>
                </c:pt>
              </c:numCache>
            </c:numRef>
          </c:val>
          <c:smooth val="0"/>
          <c:extLst>
            <c:ext xmlns:c16="http://schemas.microsoft.com/office/drawing/2014/chart" uri="{C3380CC4-5D6E-409C-BE32-E72D297353CC}">
              <c16:uniqueId val="{00000001-3F55-494C-BCF6-3F0CFBF63FB3}"/>
            </c:ext>
          </c:extLst>
        </c:ser>
        <c:ser>
          <c:idx val="1"/>
          <c:order val="1"/>
          <c:tx>
            <c:strRef>
              <c:f>'A. Chart Data'!$H$53:$H$55</c:f>
              <c:strCache>
                <c:ptCount val="1"/>
                <c:pt idx="0">
                  <c:v> Crawley Road Medical Centre - Target 15%</c:v>
                </c:pt>
              </c:strCache>
            </c:strRef>
          </c:tx>
          <c:spPr>
            <a:ln w="28575" cap="rnd">
              <a:solidFill>
                <a:schemeClr val="accent3"/>
              </a:solidFill>
              <a:round/>
            </a:ln>
            <a:effectLst/>
          </c:spPr>
          <c:marker>
            <c:symbol val="none"/>
          </c:marker>
          <c:cat>
            <c:strRef>
              <c:f>'A. Chart Data'!$F$56:$F$69</c:f>
              <c:strCache>
                <c:ptCount val="13"/>
                <c:pt idx="0">
                  <c:v>01/04/2021</c:v>
                </c:pt>
                <c:pt idx="1">
                  <c:v>01/05/2021</c:v>
                </c:pt>
                <c:pt idx="2">
                  <c:v>01/06/2021</c:v>
                </c:pt>
                <c:pt idx="3">
                  <c:v>01/07/2021</c:v>
                </c:pt>
                <c:pt idx="4">
                  <c:v>01/08/2021</c:v>
                </c:pt>
                <c:pt idx="5">
                  <c:v>01/09/2021</c:v>
                </c:pt>
                <c:pt idx="6">
                  <c:v>01/10/2021</c:v>
                </c:pt>
                <c:pt idx="7">
                  <c:v>01/11/2021</c:v>
                </c:pt>
                <c:pt idx="8">
                  <c:v>01/12/2021</c:v>
                </c:pt>
                <c:pt idx="9">
                  <c:v>01/01/2022</c:v>
                </c:pt>
                <c:pt idx="10">
                  <c:v>01/02/2022</c:v>
                </c:pt>
                <c:pt idx="11">
                  <c:v>01/03/2022</c:v>
                </c:pt>
                <c:pt idx="12">
                  <c:v>01/04/2022</c:v>
                </c:pt>
              </c:strCache>
            </c:strRef>
          </c:cat>
          <c:val>
            <c:numRef>
              <c:f>'A. Chart Data'!$H$56:$H$69</c:f>
              <c:numCache>
                <c:formatCode>General</c:formatCode>
                <c:ptCount val="13"/>
                <c:pt idx="0">
                  <c:v>0.15</c:v>
                </c:pt>
                <c:pt idx="1">
                  <c:v>0.15</c:v>
                </c:pt>
                <c:pt idx="2">
                  <c:v>0.15</c:v>
                </c:pt>
                <c:pt idx="3">
                  <c:v>0.15</c:v>
                </c:pt>
                <c:pt idx="4">
                  <c:v>0.15</c:v>
                </c:pt>
                <c:pt idx="5">
                  <c:v>0.15</c:v>
                </c:pt>
                <c:pt idx="6">
                  <c:v>0.15</c:v>
                </c:pt>
                <c:pt idx="7">
                  <c:v>0.15</c:v>
                </c:pt>
                <c:pt idx="8">
                  <c:v>0.15</c:v>
                </c:pt>
                <c:pt idx="9">
                  <c:v>0.15</c:v>
                </c:pt>
                <c:pt idx="10">
                  <c:v>0.15</c:v>
                </c:pt>
                <c:pt idx="11">
                  <c:v>0.15</c:v>
                </c:pt>
                <c:pt idx="12">
                  <c:v>0.15</c:v>
                </c:pt>
              </c:numCache>
            </c:numRef>
          </c:val>
          <c:smooth val="0"/>
          <c:extLst>
            <c:ext xmlns:c16="http://schemas.microsoft.com/office/drawing/2014/chart" uri="{C3380CC4-5D6E-409C-BE32-E72D297353CC}">
              <c16:uniqueId val="{00000002-3F55-494C-BCF6-3F0CFBF63FB3}"/>
            </c:ext>
          </c:extLst>
        </c:ser>
        <c:dLbls>
          <c:showLegendKey val="0"/>
          <c:showVal val="0"/>
          <c:showCatName val="0"/>
          <c:showSerName val="0"/>
          <c:showPercent val="0"/>
          <c:showBubbleSize val="0"/>
        </c:dLbls>
        <c:smooth val="0"/>
        <c:axId val="779019424"/>
        <c:axId val="779009856"/>
      </c:lineChart>
      <c:catAx>
        <c:axId val="77901942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79009856"/>
        <c:crosses val="autoZero"/>
        <c:auto val="1"/>
        <c:lblAlgn val="ctr"/>
        <c:lblOffset val="100"/>
        <c:noMultiLvlLbl val="0"/>
      </c:catAx>
      <c:valAx>
        <c:axId val="779009856"/>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79019424"/>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pivotSource>
    <c:name>[WF LTC SNS 01-04-2022.xlsx]B. Chart data!PivotTable1</c:name>
    <c:fmtId val="2"/>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COPD Review</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0"/>
        <c:spPr>
          <a:ln w="28575" cap="rnd">
            <a:solidFill>
              <a:schemeClr val="accent3"/>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1"/>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strRef>
              <c:f>'B. Chart data'!$C$3:$C$5</c:f>
              <c:strCache>
                <c:ptCount val="1"/>
                <c:pt idx="0">
                  <c:v> Crawley Road Medical Centre - COPD Review %</c:v>
                </c:pt>
              </c:strCache>
            </c:strRef>
          </c:tx>
          <c:spPr>
            <a:ln w="28575" cap="rnd">
              <a:solidFill>
                <a:schemeClr val="accent1"/>
              </a:solidFill>
              <a:round/>
            </a:ln>
            <a:effectLst/>
          </c:spPr>
          <c:marker>
            <c:symbol val="none"/>
          </c:marker>
          <c:cat>
            <c:strRef>
              <c:f>'B. Chart data'!$B$6:$B$19</c:f>
              <c:strCache>
                <c:ptCount val="13"/>
                <c:pt idx="0">
                  <c:v>01/04/2021</c:v>
                </c:pt>
                <c:pt idx="1">
                  <c:v>01/05/2021</c:v>
                </c:pt>
                <c:pt idx="2">
                  <c:v>01/06/2021</c:v>
                </c:pt>
                <c:pt idx="3">
                  <c:v>01/07/2021</c:v>
                </c:pt>
                <c:pt idx="4">
                  <c:v>01/08/2021</c:v>
                </c:pt>
                <c:pt idx="5">
                  <c:v>01/09/2021</c:v>
                </c:pt>
                <c:pt idx="6">
                  <c:v>01/10/2021</c:v>
                </c:pt>
                <c:pt idx="7">
                  <c:v>01/11/2021</c:v>
                </c:pt>
                <c:pt idx="8">
                  <c:v>01/12/2021</c:v>
                </c:pt>
                <c:pt idx="9">
                  <c:v>01/01/2022</c:v>
                </c:pt>
                <c:pt idx="10">
                  <c:v>01/02/2022</c:v>
                </c:pt>
                <c:pt idx="11">
                  <c:v>01/03/2022</c:v>
                </c:pt>
                <c:pt idx="12">
                  <c:v>01/04/2022</c:v>
                </c:pt>
              </c:strCache>
            </c:strRef>
          </c:cat>
          <c:val>
            <c:numRef>
              <c:f>'B. Chart data'!$C$6:$C$19</c:f>
              <c:numCache>
                <c:formatCode>General</c:formatCode>
                <c:ptCount val="13"/>
                <c:pt idx="0">
                  <c:v>0.93939393939393945</c:v>
                </c:pt>
                <c:pt idx="1">
                  <c:v>0.93939393939393945</c:v>
                </c:pt>
                <c:pt idx="2">
                  <c:v>0.27272727272727271</c:v>
                </c:pt>
                <c:pt idx="3">
                  <c:v>0.3125</c:v>
                </c:pt>
                <c:pt idx="4">
                  <c:v>0.34375</c:v>
                </c:pt>
                <c:pt idx="5">
                  <c:v>0.54545454545454541</c:v>
                </c:pt>
                <c:pt idx="6">
                  <c:v>0.75757575757575757</c:v>
                </c:pt>
                <c:pt idx="7">
                  <c:v>0.75</c:v>
                </c:pt>
                <c:pt idx="8">
                  <c:v>0.75757575757575757</c:v>
                </c:pt>
                <c:pt idx="9">
                  <c:v>0.75757575757575757</c:v>
                </c:pt>
                <c:pt idx="10">
                  <c:v>0.84848484848484851</c:v>
                </c:pt>
                <c:pt idx="11">
                  <c:v>0.82352941176470584</c:v>
                </c:pt>
                <c:pt idx="12">
                  <c:v>0.82857142857142863</c:v>
                </c:pt>
              </c:numCache>
            </c:numRef>
          </c:val>
          <c:smooth val="0"/>
          <c:extLst>
            <c:ext xmlns:c16="http://schemas.microsoft.com/office/drawing/2014/chart" uri="{C3380CC4-5D6E-409C-BE32-E72D297353CC}">
              <c16:uniqueId val="{00000001-5129-4C2A-AAE1-597FF2B9BB2D}"/>
            </c:ext>
          </c:extLst>
        </c:ser>
        <c:ser>
          <c:idx val="1"/>
          <c:order val="1"/>
          <c:tx>
            <c:strRef>
              <c:f>'B. Chart data'!$D$3:$D$5</c:f>
              <c:strCache>
                <c:ptCount val="1"/>
                <c:pt idx="0">
                  <c:v> Crawley Road Medical Centre -  Target 80%</c:v>
                </c:pt>
              </c:strCache>
            </c:strRef>
          </c:tx>
          <c:spPr>
            <a:ln w="28575" cap="rnd">
              <a:solidFill>
                <a:schemeClr val="accent3"/>
              </a:solidFill>
              <a:round/>
            </a:ln>
            <a:effectLst/>
          </c:spPr>
          <c:marker>
            <c:symbol val="none"/>
          </c:marker>
          <c:cat>
            <c:strRef>
              <c:f>'B. Chart data'!$B$6:$B$19</c:f>
              <c:strCache>
                <c:ptCount val="13"/>
                <c:pt idx="0">
                  <c:v>01/04/2021</c:v>
                </c:pt>
                <c:pt idx="1">
                  <c:v>01/05/2021</c:v>
                </c:pt>
                <c:pt idx="2">
                  <c:v>01/06/2021</c:v>
                </c:pt>
                <c:pt idx="3">
                  <c:v>01/07/2021</c:v>
                </c:pt>
                <c:pt idx="4">
                  <c:v>01/08/2021</c:v>
                </c:pt>
                <c:pt idx="5">
                  <c:v>01/09/2021</c:v>
                </c:pt>
                <c:pt idx="6">
                  <c:v>01/10/2021</c:v>
                </c:pt>
                <c:pt idx="7">
                  <c:v>01/11/2021</c:v>
                </c:pt>
                <c:pt idx="8">
                  <c:v>01/12/2021</c:v>
                </c:pt>
                <c:pt idx="9">
                  <c:v>01/01/2022</c:v>
                </c:pt>
                <c:pt idx="10">
                  <c:v>01/02/2022</c:v>
                </c:pt>
                <c:pt idx="11">
                  <c:v>01/03/2022</c:v>
                </c:pt>
                <c:pt idx="12">
                  <c:v>01/04/2022</c:v>
                </c:pt>
              </c:strCache>
            </c:strRef>
          </c:cat>
          <c:val>
            <c:numRef>
              <c:f>'B. Chart data'!$D$6:$D$19</c:f>
              <c:numCache>
                <c:formatCode>General</c:formatCode>
                <c:ptCount val="13"/>
                <c:pt idx="0">
                  <c:v>0.8</c:v>
                </c:pt>
                <c:pt idx="1">
                  <c:v>0.8</c:v>
                </c:pt>
                <c:pt idx="2">
                  <c:v>0.8</c:v>
                </c:pt>
                <c:pt idx="3">
                  <c:v>0.8</c:v>
                </c:pt>
                <c:pt idx="4">
                  <c:v>0.8</c:v>
                </c:pt>
                <c:pt idx="5">
                  <c:v>0.8</c:v>
                </c:pt>
                <c:pt idx="6">
                  <c:v>0.8</c:v>
                </c:pt>
                <c:pt idx="7">
                  <c:v>0.8</c:v>
                </c:pt>
                <c:pt idx="8">
                  <c:v>0.8</c:v>
                </c:pt>
                <c:pt idx="9">
                  <c:v>0.8</c:v>
                </c:pt>
                <c:pt idx="10">
                  <c:v>0.8</c:v>
                </c:pt>
                <c:pt idx="11">
                  <c:v>0.8</c:v>
                </c:pt>
                <c:pt idx="12">
                  <c:v>0.8</c:v>
                </c:pt>
              </c:numCache>
            </c:numRef>
          </c:val>
          <c:smooth val="0"/>
          <c:extLst>
            <c:ext xmlns:c16="http://schemas.microsoft.com/office/drawing/2014/chart" uri="{C3380CC4-5D6E-409C-BE32-E72D297353CC}">
              <c16:uniqueId val="{00000002-5129-4C2A-AAE1-597FF2B9BB2D}"/>
            </c:ext>
          </c:extLst>
        </c:ser>
        <c:dLbls>
          <c:showLegendKey val="0"/>
          <c:showVal val="0"/>
          <c:showCatName val="0"/>
          <c:showSerName val="0"/>
          <c:showPercent val="0"/>
          <c:showBubbleSize val="0"/>
        </c:dLbls>
        <c:smooth val="0"/>
        <c:axId val="319125151"/>
        <c:axId val="319118495"/>
      </c:lineChart>
      <c:catAx>
        <c:axId val="31912515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18495"/>
        <c:crosses val="autoZero"/>
        <c:auto val="1"/>
        <c:lblAlgn val="ctr"/>
        <c:lblOffset val="100"/>
        <c:noMultiLvlLbl val="0"/>
      </c:catAx>
      <c:valAx>
        <c:axId val="319118495"/>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251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pivotSource>
    <c:name>[WF LTC SNS 01-04-2022.xlsx]B. Chart data!PivotTable2</c:name>
    <c:fmtId val="2"/>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COPD Action Plan</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2"/>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3"/>
        <c:spPr>
          <a:ln w="28575" cap="rnd">
            <a:solidFill>
              <a:schemeClr val="accent3"/>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strRef>
              <c:f>'B. Chart data'!$C$33:$C$35</c:f>
              <c:strCache>
                <c:ptCount val="1"/>
                <c:pt idx="0">
                  <c:v> Crawley Road Medical Centre - COPD Action plan %</c:v>
                </c:pt>
              </c:strCache>
            </c:strRef>
          </c:tx>
          <c:spPr>
            <a:ln w="28575" cap="rnd">
              <a:solidFill>
                <a:schemeClr val="accent1"/>
              </a:solidFill>
              <a:round/>
            </a:ln>
            <a:effectLst/>
          </c:spPr>
          <c:marker>
            <c:symbol val="none"/>
          </c:marker>
          <c:cat>
            <c:strRef>
              <c:f>'B. Chart data'!$B$36:$B$49</c:f>
              <c:strCache>
                <c:ptCount val="13"/>
                <c:pt idx="0">
                  <c:v>01/04/2021</c:v>
                </c:pt>
                <c:pt idx="1">
                  <c:v>01/05/2021</c:v>
                </c:pt>
                <c:pt idx="2">
                  <c:v>01/06/2021</c:v>
                </c:pt>
                <c:pt idx="3">
                  <c:v>01/07/2021</c:v>
                </c:pt>
                <c:pt idx="4">
                  <c:v>01/08/2021</c:v>
                </c:pt>
                <c:pt idx="5">
                  <c:v>01/09/2021</c:v>
                </c:pt>
                <c:pt idx="6">
                  <c:v>01/10/2021</c:v>
                </c:pt>
                <c:pt idx="7">
                  <c:v>01/11/2021</c:v>
                </c:pt>
                <c:pt idx="8">
                  <c:v>01/12/2021</c:v>
                </c:pt>
                <c:pt idx="9">
                  <c:v>01/01/2022</c:v>
                </c:pt>
                <c:pt idx="10">
                  <c:v>01/02/2022</c:v>
                </c:pt>
                <c:pt idx="11">
                  <c:v>01/03/2022</c:v>
                </c:pt>
                <c:pt idx="12">
                  <c:v>01/04/2022</c:v>
                </c:pt>
              </c:strCache>
            </c:strRef>
          </c:cat>
          <c:val>
            <c:numRef>
              <c:f>'B. Chart data'!$C$36:$C$49</c:f>
              <c:numCache>
                <c:formatCode>General</c:formatCode>
                <c:ptCount val="13"/>
                <c:pt idx="0">
                  <c:v>0.78787878787878785</c:v>
                </c:pt>
                <c:pt idx="1">
                  <c:v>0.78787878787878785</c:v>
                </c:pt>
                <c:pt idx="2">
                  <c:v>0.27272727272727271</c:v>
                </c:pt>
                <c:pt idx="3">
                  <c:v>0.25</c:v>
                </c:pt>
                <c:pt idx="4">
                  <c:v>0.25</c:v>
                </c:pt>
                <c:pt idx="5">
                  <c:v>0.45454545454545453</c:v>
                </c:pt>
                <c:pt idx="6">
                  <c:v>0.63636363636363635</c:v>
                </c:pt>
                <c:pt idx="7">
                  <c:v>0.625</c:v>
                </c:pt>
                <c:pt idx="8">
                  <c:v>0.5757575757575758</c:v>
                </c:pt>
                <c:pt idx="9">
                  <c:v>0.60606060606060608</c:v>
                </c:pt>
                <c:pt idx="10">
                  <c:v>0.69696969696969702</c:v>
                </c:pt>
                <c:pt idx="11">
                  <c:v>0.67647058823529416</c:v>
                </c:pt>
                <c:pt idx="12">
                  <c:v>0.65714285714285714</c:v>
                </c:pt>
              </c:numCache>
            </c:numRef>
          </c:val>
          <c:smooth val="0"/>
          <c:extLst>
            <c:ext xmlns:c16="http://schemas.microsoft.com/office/drawing/2014/chart" uri="{C3380CC4-5D6E-409C-BE32-E72D297353CC}">
              <c16:uniqueId val="{00000001-CF51-4679-8953-6F418EE8BB3C}"/>
            </c:ext>
          </c:extLst>
        </c:ser>
        <c:ser>
          <c:idx val="1"/>
          <c:order val="1"/>
          <c:tx>
            <c:strRef>
              <c:f>'B. Chart data'!$D$33:$D$35</c:f>
              <c:strCache>
                <c:ptCount val="1"/>
                <c:pt idx="0">
                  <c:v> Crawley Road Medical Centre -  Target 55%</c:v>
                </c:pt>
              </c:strCache>
            </c:strRef>
          </c:tx>
          <c:spPr>
            <a:ln w="28575" cap="rnd">
              <a:solidFill>
                <a:schemeClr val="accent3"/>
              </a:solidFill>
              <a:round/>
            </a:ln>
            <a:effectLst/>
          </c:spPr>
          <c:marker>
            <c:symbol val="none"/>
          </c:marker>
          <c:cat>
            <c:strRef>
              <c:f>'B. Chart data'!$B$36:$B$49</c:f>
              <c:strCache>
                <c:ptCount val="13"/>
                <c:pt idx="0">
                  <c:v>01/04/2021</c:v>
                </c:pt>
                <c:pt idx="1">
                  <c:v>01/05/2021</c:v>
                </c:pt>
                <c:pt idx="2">
                  <c:v>01/06/2021</c:v>
                </c:pt>
                <c:pt idx="3">
                  <c:v>01/07/2021</c:v>
                </c:pt>
                <c:pt idx="4">
                  <c:v>01/08/2021</c:v>
                </c:pt>
                <c:pt idx="5">
                  <c:v>01/09/2021</c:v>
                </c:pt>
                <c:pt idx="6">
                  <c:v>01/10/2021</c:v>
                </c:pt>
                <c:pt idx="7">
                  <c:v>01/11/2021</c:v>
                </c:pt>
                <c:pt idx="8">
                  <c:v>01/12/2021</c:v>
                </c:pt>
                <c:pt idx="9">
                  <c:v>01/01/2022</c:v>
                </c:pt>
                <c:pt idx="10">
                  <c:v>01/02/2022</c:v>
                </c:pt>
                <c:pt idx="11">
                  <c:v>01/03/2022</c:v>
                </c:pt>
                <c:pt idx="12">
                  <c:v>01/04/2022</c:v>
                </c:pt>
              </c:strCache>
            </c:strRef>
          </c:cat>
          <c:val>
            <c:numRef>
              <c:f>'B. Chart data'!$D$36:$D$49</c:f>
              <c:numCache>
                <c:formatCode>General</c:formatCode>
                <c:ptCount val="13"/>
                <c:pt idx="0">
                  <c:v>0.55000000000000004</c:v>
                </c:pt>
                <c:pt idx="1">
                  <c:v>0.55000000000000004</c:v>
                </c:pt>
                <c:pt idx="2">
                  <c:v>0.55000000000000004</c:v>
                </c:pt>
                <c:pt idx="3">
                  <c:v>0.55000000000000004</c:v>
                </c:pt>
                <c:pt idx="4">
                  <c:v>0.55000000000000004</c:v>
                </c:pt>
                <c:pt idx="5">
                  <c:v>0.55000000000000004</c:v>
                </c:pt>
                <c:pt idx="6">
                  <c:v>0.55000000000000004</c:v>
                </c:pt>
                <c:pt idx="7">
                  <c:v>0.55000000000000004</c:v>
                </c:pt>
                <c:pt idx="8">
                  <c:v>0.55000000000000004</c:v>
                </c:pt>
                <c:pt idx="9">
                  <c:v>0.55000000000000004</c:v>
                </c:pt>
                <c:pt idx="10">
                  <c:v>0.55000000000000004</c:v>
                </c:pt>
                <c:pt idx="11">
                  <c:v>0.55000000000000004</c:v>
                </c:pt>
                <c:pt idx="12">
                  <c:v>0.55000000000000004</c:v>
                </c:pt>
              </c:numCache>
            </c:numRef>
          </c:val>
          <c:smooth val="0"/>
          <c:extLst>
            <c:ext xmlns:c16="http://schemas.microsoft.com/office/drawing/2014/chart" uri="{C3380CC4-5D6E-409C-BE32-E72D297353CC}">
              <c16:uniqueId val="{00000002-CF51-4679-8953-6F418EE8BB3C}"/>
            </c:ext>
          </c:extLst>
        </c:ser>
        <c:dLbls>
          <c:showLegendKey val="0"/>
          <c:showVal val="0"/>
          <c:showCatName val="0"/>
          <c:showSerName val="0"/>
          <c:showPercent val="0"/>
          <c:showBubbleSize val="0"/>
        </c:dLbls>
        <c:smooth val="0"/>
        <c:axId val="319125151"/>
        <c:axId val="319118495"/>
      </c:lineChart>
      <c:catAx>
        <c:axId val="31912515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18495"/>
        <c:crosses val="autoZero"/>
        <c:auto val="1"/>
        <c:lblAlgn val="ctr"/>
        <c:lblOffset val="100"/>
        <c:noMultiLvlLbl val="0"/>
      </c:catAx>
      <c:valAx>
        <c:axId val="319118495"/>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251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pivotSource>
    <c:name>[WF LTC SNS 01-04-2022.xlsx]B. Chart data!PivotTable3</c:name>
    <c:fmtId val="2"/>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COPD CAT Score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2"/>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3"/>
        <c:spPr>
          <a:ln w="28575" cap="rnd">
            <a:solidFill>
              <a:schemeClr val="accent3"/>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strRef>
              <c:f>'B. Chart data'!$C$57:$C$59</c:f>
              <c:strCache>
                <c:ptCount val="1"/>
                <c:pt idx="0">
                  <c:v> Crawley Road Medical Centre - COPD CAT Score %</c:v>
                </c:pt>
              </c:strCache>
            </c:strRef>
          </c:tx>
          <c:spPr>
            <a:ln w="28575" cap="rnd">
              <a:solidFill>
                <a:schemeClr val="accent1"/>
              </a:solidFill>
              <a:round/>
            </a:ln>
            <a:effectLst/>
          </c:spPr>
          <c:marker>
            <c:symbol val="none"/>
          </c:marker>
          <c:cat>
            <c:strRef>
              <c:f>'B. Chart data'!$B$60:$B$73</c:f>
              <c:strCache>
                <c:ptCount val="13"/>
                <c:pt idx="0">
                  <c:v>01/04/2021</c:v>
                </c:pt>
                <c:pt idx="1">
                  <c:v>01/05/2021</c:v>
                </c:pt>
                <c:pt idx="2">
                  <c:v>01/06/2021</c:v>
                </c:pt>
                <c:pt idx="3">
                  <c:v>01/07/2021</c:v>
                </c:pt>
                <c:pt idx="4">
                  <c:v>01/08/2021</c:v>
                </c:pt>
                <c:pt idx="5">
                  <c:v>01/09/2021</c:v>
                </c:pt>
                <c:pt idx="6">
                  <c:v>01/10/2021</c:v>
                </c:pt>
                <c:pt idx="7">
                  <c:v>01/11/2021</c:v>
                </c:pt>
                <c:pt idx="8">
                  <c:v>01/12/2021</c:v>
                </c:pt>
                <c:pt idx="9">
                  <c:v>01/01/2022</c:v>
                </c:pt>
                <c:pt idx="10">
                  <c:v>01/02/2022</c:v>
                </c:pt>
                <c:pt idx="11">
                  <c:v>01/03/2022</c:v>
                </c:pt>
                <c:pt idx="12">
                  <c:v>01/04/2022</c:v>
                </c:pt>
              </c:strCache>
            </c:strRef>
          </c:cat>
          <c:val>
            <c:numRef>
              <c:f>'B. Chart data'!$C$60:$C$73</c:f>
              <c:numCache>
                <c:formatCode>General</c:formatCode>
                <c:ptCount val="13"/>
                <c:pt idx="0">
                  <c:v>0.87878787878787878</c:v>
                </c:pt>
                <c:pt idx="1">
                  <c:v>0.87878787878787878</c:v>
                </c:pt>
                <c:pt idx="2">
                  <c:v>0.21212121212121213</c:v>
                </c:pt>
                <c:pt idx="3">
                  <c:v>0.25</c:v>
                </c:pt>
                <c:pt idx="4">
                  <c:v>0.28125</c:v>
                </c:pt>
                <c:pt idx="5">
                  <c:v>0.48484848484848486</c:v>
                </c:pt>
                <c:pt idx="6">
                  <c:v>0.72727272727272729</c:v>
                </c:pt>
                <c:pt idx="7">
                  <c:v>0.71875</c:v>
                </c:pt>
                <c:pt idx="8">
                  <c:v>0.75757575757575757</c:v>
                </c:pt>
                <c:pt idx="9">
                  <c:v>0.75757575757575757</c:v>
                </c:pt>
                <c:pt idx="10">
                  <c:v>0.84848484848484851</c:v>
                </c:pt>
                <c:pt idx="11">
                  <c:v>0.82352941176470584</c:v>
                </c:pt>
                <c:pt idx="12">
                  <c:v>0.8</c:v>
                </c:pt>
              </c:numCache>
            </c:numRef>
          </c:val>
          <c:smooth val="0"/>
          <c:extLst>
            <c:ext xmlns:c16="http://schemas.microsoft.com/office/drawing/2014/chart" uri="{C3380CC4-5D6E-409C-BE32-E72D297353CC}">
              <c16:uniqueId val="{00000001-F32A-449C-9A43-08AA3C696678}"/>
            </c:ext>
          </c:extLst>
        </c:ser>
        <c:ser>
          <c:idx val="1"/>
          <c:order val="1"/>
          <c:tx>
            <c:strRef>
              <c:f>'B. Chart data'!$D$57:$D$59</c:f>
              <c:strCache>
                <c:ptCount val="1"/>
                <c:pt idx="0">
                  <c:v> Crawley Road Medical Centre -  Target 58%</c:v>
                </c:pt>
              </c:strCache>
            </c:strRef>
          </c:tx>
          <c:spPr>
            <a:ln w="28575" cap="rnd">
              <a:solidFill>
                <a:schemeClr val="accent3"/>
              </a:solidFill>
              <a:round/>
            </a:ln>
            <a:effectLst/>
          </c:spPr>
          <c:marker>
            <c:symbol val="none"/>
          </c:marker>
          <c:cat>
            <c:strRef>
              <c:f>'B. Chart data'!$B$60:$B$73</c:f>
              <c:strCache>
                <c:ptCount val="13"/>
                <c:pt idx="0">
                  <c:v>01/04/2021</c:v>
                </c:pt>
                <c:pt idx="1">
                  <c:v>01/05/2021</c:v>
                </c:pt>
                <c:pt idx="2">
                  <c:v>01/06/2021</c:v>
                </c:pt>
                <c:pt idx="3">
                  <c:v>01/07/2021</c:v>
                </c:pt>
                <c:pt idx="4">
                  <c:v>01/08/2021</c:v>
                </c:pt>
                <c:pt idx="5">
                  <c:v>01/09/2021</c:v>
                </c:pt>
                <c:pt idx="6">
                  <c:v>01/10/2021</c:v>
                </c:pt>
                <c:pt idx="7">
                  <c:v>01/11/2021</c:v>
                </c:pt>
                <c:pt idx="8">
                  <c:v>01/12/2021</c:v>
                </c:pt>
                <c:pt idx="9">
                  <c:v>01/01/2022</c:v>
                </c:pt>
                <c:pt idx="10">
                  <c:v>01/02/2022</c:v>
                </c:pt>
                <c:pt idx="11">
                  <c:v>01/03/2022</c:v>
                </c:pt>
                <c:pt idx="12">
                  <c:v>01/04/2022</c:v>
                </c:pt>
              </c:strCache>
            </c:strRef>
          </c:cat>
          <c:val>
            <c:numRef>
              <c:f>'B. Chart data'!$D$60:$D$73</c:f>
              <c:numCache>
                <c:formatCode>General</c:formatCode>
                <c:ptCount val="13"/>
                <c:pt idx="0">
                  <c:v>0.57999999999999996</c:v>
                </c:pt>
                <c:pt idx="1">
                  <c:v>0.57999999999999996</c:v>
                </c:pt>
                <c:pt idx="2">
                  <c:v>0.57999999999999996</c:v>
                </c:pt>
                <c:pt idx="3">
                  <c:v>0.57999999999999996</c:v>
                </c:pt>
                <c:pt idx="4">
                  <c:v>0.57999999999999996</c:v>
                </c:pt>
                <c:pt idx="5">
                  <c:v>0.57999999999999996</c:v>
                </c:pt>
                <c:pt idx="6">
                  <c:v>0.57999999999999996</c:v>
                </c:pt>
                <c:pt idx="7">
                  <c:v>0.57999999999999996</c:v>
                </c:pt>
                <c:pt idx="8">
                  <c:v>0.57999999999999996</c:v>
                </c:pt>
                <c:pt idx="9">
                  <c:v>0.57999999999999996</c:v>
                </c:pt>
                <c:pt idx="10">
                  <c:v>0.57999999999999996</c:v>
                </c:pt>
                <c:pt idx="11">
                  <c:v>0.57999999999999996</c:v>
                </c:pt>
                <c:pt idx="12">
                  <c:v>0.57999999999999996</c:v>
                </c:pt>
              </c:numCache>
            </c:numRef>
          </c:val>
          <c:smooth val="0"/>
          <c:extLst>
            <c:ext xmlns:c16="http://schemas.microsoft.com/office/drawing/2014/chart" uri="{C3380CC4-5D6E-409C-BE32-E72D297353CC}">
              <c16:uniqueId val="{00000002-F32A-449C-9A43-08AA3C696678}"/>
            </c:ext>
          </c:extLst>
        </c:ser>
        <c:dLbls>
          <c:showLegendKey val="0"/>
          <c:showVal val="0"/>
          <c:showCatName val="0"/>
          <c:showSerName val="0"/>
          <c:showPercent val="0"/>
          <c:showBubbleSize val="0"/>
        </c:dLbls>
        <c:smooth val="0"/>
        <c:axId val="319125151"/>
        <c:axId val="319118495"/>
      </c:lineChart>
      <c:catAx>
        <c:axId val="31912515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18495"/>
        <c:crosses val="autoZero"/>
        <c:auto val="1"/>
        <c:lblAlgn val="ctr"/>
        <c:lblOffset val="100"/>
        <c:noMultiLvlLbl val="0"/>
      </c:catAx>
      <c:valAx>
        <c:axId val="319118495"/>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251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pivotSource>
    <c:name>[WF LTC SNS 01-04-2022.xlsx]C. Chart Data!PivotTable4</c:name>
    <c:fmtId val="2"/>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Asthma</a:t>
            </a:r>
            <a:r>
              <a:rPr lang="en-GB" baseline="0"/>
              <a:t> Review</a:t>
            </a:r>
            <a:endParaRPr lang="en-GB"/>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2"/>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3"/>
        <c:spPr>
          <a:ln w="28575" cap="rnd">
            <a:solidFill>
              <a:schemeClr val="accent3"/>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strRef>
              <c:f>'C. Chart Data'!$C$3:$C$5</c:f>
              <c:strCache>
                <c:ptCount val="1"/>
                <c:pt idx="0">
                  <c:v> Crawley Road Medical Centre - Asthma Review  %</c:v>
                </c:pt>
              </c:strCache>
            </c:strRef>
          </c:tx>
          <c:spPr>
            <a:ln w="28575" cap="rnd">
              <a:solidFill>
                <a:schemeClr val="accent1"/>
              </a:solidFill>
              <a:round/>
            </a:ln>
            <a:effectLst/>
          </c:spPr>
          <c:marker>
            <c:symbol val="none"/>
          </c:marker>
          <c:cat>
            <c:strRef>
              <c:f>'C. Chart Data'!$B$6:$B$19</c:f>
              <c:strCache>
                <c:ptCount val="13"/>
                <c:pt idx="0">
                  <c:v>01/04/2021</c:v>
                </c:pt>
                <c:pt idx="1">
                  <c:v>01/05/2021</c:v>
                </c:pt>
                <c:pt idx="2">
                  <c:v>01/06/2021</c:v>
                </c:pt>
                <c:pt idx="3">
                  <c:v>01/07/2021</c:v>
                </c:pt>
                <c:pt idx="4">
                  <c:v>01/08/2021</c:v>
                </c:pt>
                <c:pt idx="5">
                  <c:v>01/09/2021</c:v>
                </c:pt>
                <c:pt idx="6">
                  <c:v>01/10/2021</c:v>
                </c:pt>
                <c:pt idx="7">
                  <c:v>01/11/2021</c:v>
                </c:pt>
                <c:pt idx="8">
                  <c:v>01/12/2021</c:v>
                </c:pt>
                <c:pt idx="9">
                  <c:v>01/01/2022</c:v>
                </c:pt>
                <c:pt idx="10">
                  <c:v>01/02/2022</c:v>
                </c:pt>
                <c:pt idx="11">
                  <c:v>01/03/2022</c:v>
                </c:pt>
                <c:pt idx="12">
                  <c:v>01/04/2022</c:v>
                </c:pt>
              </c:strCache>
            </c:strRef>
          </c:cat>
          <c:val>
            <c:numRef>
              <c:f>'C. Chart Data'!$C$6:$C$19</c:f>
              <c:numCache>
                <c:formatCode>General</c:formatCode>
                <c:ptCount val="13"/>
                <c:pt idx="0">
                  <c:v>0.80243161094224924</c:v>
                </c:pt>
                <c:pt idx="1">
                  <c:v>0.79012345679012341</c:v>
                </c:pt>
                <c:pt idx="2">
                  <c:v>0.57643312101910826</c:v>
                </c:pt>
                <c:pt idx="3">
                  <c:v>0.48571428571428571</c:v>
                </c:pt>
                <c:pt idx="4">
                  <c:v>0.61708860759493667</c:v>
                </c:pt>
                <c:pt idx="5">
                  <c:v>0.66352201257861632</c:v>
                </c:pt>
                <c:pt idx="6">
                  <c:v>0.70476190476190481</c:v>
                </c:pt>
                <c:pt idx="7">
                  <c:v>0.74143302180685355</c:v>
                </c:pt>
                <c:pt idx="8">
                  <c:v>0.79076923076923078</c:v>
                </c:pt>
                <c:pt idx="9">
                  <c:v>0.83433734939759041</c:v>
                </c:pt>
                <c:pt idx="10">
                  <c:v>0.84638554216867468</c:v>
                </c:pt>
                <c:pt idx="11">
                  <c:v>0.8571428571428571</c:v>
                </c:pt>
                <c:pt idx="12">
                  <c:v>0.85151515151515156</c:v>
                </c:pt>
              </c:numCache>
            </c:numRef>
          </c:val>
          <c:smooth val="0"/>
          <c:extLst>
            <c:ext xmlns:c16="http://schemas.microsoft.com/office/drawing/2014/chart" uri="{C3380CC4-5D6E-409C-BE32-E72D297353CC}">
              <c16:uniqueId val="{0000004F-5D1D-4CC5-B1BD-48327D2AB302}"/>
            </c:ext>
          </c:extLst>
        </c:ser>
        <c:ser>
          <c:idx val="1"/>
          <c:order val="1"/>
          <c:tx>
            <c:strRef>
              <c:f>'C. Chart Data'!$D$3:$D$5</c:f>
              <c:strCache>
                <c:ptCount val="1"/>
                <c:pt idx="0">
                  <c:v> Crawley Road Medical Centre - Target 71%</c:v>
                </c:pt>
              </c:strCache>
            </c:strRef>
          </c:tx>
          <c:spPr>
            <a:ln w="28575" cap="rnd">
              <a:solidFill>
                <a:schemeClr val="accent3"/>
              </a:solidFill>
              <a:round/>
            </a:ln>
            <a:effectLst/>
          </c:spPr>
          <c:marker>
            <c:symbol val="none"/>
          </c:marker>
          <c:cat>
            <c:strRef>
              <c:f>'C. Chart Data'!$B$6:$B$19</c:f>
              <c:strCache>
                <c:ptCount val="13"/>
                <c:pt idx="0">
                  <c:v>01/04/2021</c:v>
                </c:pt>
                <c:pt idx="1">
                  <c:v>01/05/2021</c:v>
                </c:pt>
                <c:pt idx="2">
                  <c:v>01/06/2021</c:v>
                </c:pt>
                <c:pt idx="3">
                  <c:v>01/07/2021</c:v>
                </c:pt>
                <c:pt idx="4">
                  <c:v>01/08/2021</c:v>
                </c:pt>
                <c:pt idx="5">
                  <c:v>01/09/2021</c:v>
                </c:pt>
                <c:pt idx="6">
                  <c:v>01/10/2021</c:v>
                </c:pt>
                <c:pt idx="7">
                  <c:v>01/11/2021</c:v>
                </c:pt>
                <c:pt idx="8">
                  <c:v>01/12/2021</c:v>
                </c:pt>
                <c:pt idx="9">
                  <c:v>01/01/2022</c:v>
                </c:pt>
                <c:pt idx="10">
                  <c:v>01/02/2022</c:v>
                </c:pt>
                <c:pt idx="11">
                  <c:v>01/03/2022</c:v>
                </c:pt>
                <c:pt idx="12">
                  <c:v>01/04/2022</c:v>
                </c:pt>
              </c:strCache>
            </c:strRef>
          </c:cat>
          <c:val>
            <c:numRef>
              <c:f>'C. Chart Data'!$D$6:$D$19</c:f>
              <c:numCache>
                <c:formatCode>General</c:formatCode>
                <c:ptCount val="13"/>
                <c:pt idx="0">
                  <c:v>0.71</c:v>
                </c:pt>
                <c:pt idx="1">
                  <c:v>0.71</c:v>
                </c:pt>
                <c:pt idx="2">
                  <c:v>0.71</c:v>
                </c:pt>
                <c:pt idx="3">
                  <c:v>0.71</c:v>
                </c:pt>
                <c:pt idx="4">
                  <c:v>0.71</c:v>
                </c:pt>
                <c:pt idx="5">
                  <c:v>0.71</c:v>
                </c:pt>
                <c:pt idx="6">
                  <c:v>0.71</c:v>
                </c:pt>
                <c:pt idx="7">
                  <c:v>0.71</c:v>
                </c:pt>
                <c:pt idx="8">
                  <c:v>0.71</c:v>
                </c:pt>
                <c:pt idx="9">
                  <c:v>0.71</c:v>
                </c:pt>
                <c:pt idx="10">
                  <c:v>0.71</c:v>
                </c:pt>
                <c:pt idx="11">
                  <c:v>0.71</c:v>
                </c:pt>
                <c:pt idx="12">
                  <c:v>0.71</c:v>
                </c:pt>
              </c:numCache>
            </c:numRef>
          </c:val>
          <c:smooth val="0"/>
          <c:extLst>
            <c:ext xmlns:c16="http://schemas.microsoft.com/office/drawing/2014/chart" uri="{C3380CC4-5D6E-409C-BE32-E72D297353CC}">
              <c16:uniqueId val="{00000050-5D1D-4CC5-B1BD-48327D2AB302}"/>
            </c:ext>
          </c:extLst>
        </c:ser>
        <c:dLbls>
          <c:showLegendKey val="0"/>
          <c:showVal val="0"/>
          <c:showCatName val="0"/>
          <c:showSerName val="0"/>
          <c:showPercent val="0"/>
          <c:showBubbleSize val="0"/>
        </c:dLbls>
        <c:smooth val="0"/>
        <c:axId val="319125151"/>
        <c:axId val="319118495"/>
      </c:lineChart>
      <c:catAx>
        <c:axId val="31912515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18495"/>
        <c:crosses val="autoZero"/>
        <c:auto val="1"/>
        <c:lblAlgn val="ctr"/>
        <c:lblOffset val="100"/>
        <c:noMultiLvlLbl val="0"/>
      </c:catAx>
      <c:valAx>
        <c:axId val="319118495"/>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251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pivotSource>
    <c:name>[WF LTC SNS 01-04-2022.xlsx]C. Chart Data!PivotTable5</c:name>
    <c:fmtId val="2"/>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Asthma</a:t>
            </a:r>
            <a:r>
              <a:rPr lang="en-GB" baseline="0"/>
              <a:t> Action Plan</a:t>
            </a:r>
            <a:endParaRPr lang="en-GB"/>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0"/>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1"/>
        <c:spPr>
          <a:ln w="28575" cap="rnd">
            <a:solidFill>
              <a:schemeClr val="accent3"/>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strRef>
              <c:f>'C. Chart Data'!$C$31:$C$33</c:f>
              <c:strCache>
                <c:ptCount val="1"/>
                <c:pt idx="0">
                  <c:v> Crawley Road Medical Centre - Asthma Action plan  %</c:v>
                </c:pt>
              </c:strCache>
            </c:strRef>
          </c:tx>
          <c:spPr>
            <a:ln w="28575" cap="rnd">
              <a:solidFill>
                <a:schemeClr val="accent1"/>
              </a:solidFill>
              <a:round/>
            </a:ln>
            <a:effectLst/>
          </c:spPr>
          <c:marker>
            <c:symbol val="none"/>
          </c:marker>
          <c:cat>
            <c:strRef>
              <c:f>'C. Chart Data'!$B$34:$B$47</c:f>
              <c:strCache>
                <c:ptCount val="13"/>
                <c:pt idx="0">
                  <c:v>01/04/2021</c:v>
                </c:pt>
                <c:pt idx="1">
                  <c:v>01/05/2021</c:v>
                </c:pt>
                <c:pt idx="2">
                  <c:v>01/06/2021</c:v>
                </c:pt>
                <c:pt idx="3">
                  <c:v>01/07/2021</c:v>
                </c:pt>
                <c:pt idx="4">
                  <c:v>01/08/2021</c:v>
                </c:pt>
                <c:pt idx="5">
                  <c:v>01/09/2021</c:v>
                </c:pt>
                <c:pt idx="6">
                  <c:v>01/10/2021</c:v>
                </c:pt>
                <c:pt idx="7">
                  <c:v>01/11/2021</c:v>
                </c:pt>
                <c:pt idx="8">
                  <c:v>01/12/2021</c:v>
                </c:pt>
                <c:pt idx="9">
                  <c:v>01/01/2022</c:v>
                </c:pt>
                <c:pt idx="10">
                  <c:v>01/02/2022</c:v>
                </c:pt>
                <c:pt idx="11">
                  <c:v>01/03/2022</c:v>
                </c:pt>
                <c:pt idx="12">
                  <c:v>01/04/2022</c:v>
                </c:pt>
              </c:strCache>
            </c:strRef>
          </c:cat>
          <c:val>
            <c:numRef>
              <c:f>'C. Chart Data'!$C$34:$C$47</c:f>
              <c:numCache>
                <c:formatCode>General</c:formatCode>
                <c:ptCount val="13"/>
                <c:pt idx="0">
                  <c:v>0.76899696048632216</c:v>
                </c:pt>
                <c:pt idx="1">
                  <c:v>0.76234567901234573</c:v>
                </c:pt>
                <c:pt idx="2">
                  <c:v>0.56050955414012738</c:v>
                </c:pt>
                <c:pt idx="3">
                  <c:v>0.46666666666666667</c:v>
                </c:pt>
                <c:pt idx="4">
                  <c:v>0.60759493670886078</c:v>
                </c:pt>
                <c:pt idx="5">
                  <c:v>0.65094339622641506</c:v>
                </c:pt>
                <c:pt idx="6">
                  <c:v>0.69206349206349205</c:v>
                </c:pt>
                <c:pt idx="7">
                  <c:v>0.72585669781931461</c:v>
                </c:pt>
                <c:pt idx="8">
                  <c:v>0.78153846153846152</c:v>
                </c:pt>
                <c:pt idx="9">
                  <c:v>0.82228915662650603</c:v>
                </c:pt>
                <c:pt idx="10">
                  <c:v>0.83734939759036142</c:v>
                </c:pt>
                <c:pt idx="11">
                  <c:v>0.84802431610942253</c:v>
                </c:pt>
                <c:pt idx="12">
                  <c:v>0.84242424242424241</c:v>
                </c:pt>
              </c:numCache>
            </c:numRef>
          </c:val>
          <c:smooth val="0"/>
          <c:extLst>
            <c:ext xmlns:c16="http://schemas.microsoft.com/office/drawing/2014/chart" uri="{C3380CC4-5D6E-409C-BE32-E72D297353CC}">
              <c16:uniqueId val="{00000003-0826-4D75-8062-B8FDE2A2F829}"/>
            </c:ext>
          </c:extLst>
        </c:ser>
        <c:ser>
          <c:idx val="1"/>
          <c:order val="1"/>
          <c:tx>
            <c:strRef>
              <c:f>'C. Chart Data'!$D$31:$D$33</c:f>
              <c:strCache>
                <c:ptCount val="1"/>
                <c:pt idx="0">
                  <c:v> Crawley Road Medical Centre - Target 90%</c:v>
                </c:pt>
              </c:strCache>
            </c:strRef>
          </c:tx>
          <c:spPr>
            <a:ln w="28575" cap="rnd">
              <a:solidFill>
                <a:schemeClr val="accent3"/>
              </a:solidFill>
              <a:round/>
            </a:ln>
            <a:effectLst/>
          </c:spPr>
          <c:marker>
            <c:symbol val="none"/>
          </c:marker>
          <c:cat>
            <c:strRef>
              <c:f>'C. Chart Data'!$B$34:$B$47</c:f>
              <c:strCache>
                <c:ptCount val="13"/>
                <c:pt idx="0">
                  <c:v>01/04/2021</c:v>
                </c:pt>
                <c:pt idx="1">
                  <c:v>01/05/2021</c:v>
                </c:pt>
                <c:pt idx="2">
                  <c:v>01/06/2021</c:v>
                </c:pt>
                <c:pt idx="3">
                  <c:v>01/07/2021</c:v>
                </c:pt>
                <c:pt idx="4">
                  <c:v>01/08/2021</c:v>
                </c:pt>
                <c:pt idx="5">
                  <c:v>01/09/2021</c:v>
                </c:pt>
                <c:pt idx="6">
                  <c:v>01/10/2021</c:v>
                </c:pt>
                <c:pt idx="7">
                  <c:v>01/11/2021</c:v>
                </c:pt>
                <c:pt idx="8">
                  <c:v>01/12/2021</c:v>
                </c:pt>
                <c:pt idx="9">
                  <c:v>01/01/2022</c:v>
                </c:pt>
                <c:pt idx="10">
                  <c:v>01/02/2022</c:v>
                </c:pt>
                <c:pt idx="11">
                  <c:v>01/03/2022</c:v>
                </c:pt>
                <c:pt idx="12">
                  <c:v>01/04/2022</c:v>
                </c:pt>
              </c:strCache>
            </c:strRef>
          </c:cat>
          <c:val>
            <c:numRef>
              <c:f>'C. Chart Data'!$D$34:$D$47</c:f>
              <c:numCache>
                <c:formatCode>General</c:formatCode>
                <c:ptCount val="13"/>
                <c:pt idx="0">
                  <c:v>0.9</c:v>
                </c:pt>
                <c:pt idx="1">
                  <c:v>0.9</c:v>
                </c:pt>
                <c:pt idx="2">
                  <c:v>0.9</c:v>
                </c:pt>
                <c:pt idx="3">
                  <c:v>0.9</c:v>
                </c:pt>
                <c:pt idx="4">
                  <c:v>0.9</c:v>
                </c:pt>
                <c:pt idx="5">
                  <c:v>0.9</c:v>
                </c:pt>
                <c:pt idx="6">
                  <c:v>0.9</c:v>
                </c:pt>
                <c:pt idx="7">
                  <c:v>0.9</c:v>
                </c:pt>
                <c:pt idx="8">
                  <c:v>0.9</c:v>
                </c:pt>
                <c:pt idx="9">
                  <c:v>0.9</c:v>
                </c:pt>
                <c:pt idx="10">
                  <c:v>0.9</c:v>
                </c:pt>
                <c:pt idx="11">
                  <c:v>0.9</c:v>
                </c:pt>
                <c:pt idx="12">
                  <c:v>0.9</c:v>
                </c:pt>
              </c:numCache>
            </c:numRef>
          </c:val>
          <c:smooth val="0"/>
          <c:extLst>
            <c:ext xmlns:c16="http://schemas.microsoft.com/office/drawing/2014/chart" uri="{C3380CC4-5D6E-409C-BE32-E72D297353CC}">
              <c16:uniqueId val="{00000004-0826-4D75-8062-B8FDE2A2F829}"/>
            </c:ext>
          </c:extLst>
        </c:ser>
        <c:dLbls>
          <c:showLegendKey val="0"/>
          <c:showVal val="0"/>
          <c:showCatName val="0"/>
          <c:showSerName val="0"/>
          <c:showPercent val="0"/>
          <c:showBubbleSize val="0"/>
        </c:dLbls>
        <c:smooth val="0"/>
        <c:axId val="319125151"/>
        <c:axId val="319118495"/>
      </c:lineChart>
      <c:catAx>
        <c:axId val="31912515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18495"/>
        <c:crosses val="autoZero"/>
        <c:auto val="1"/>
        <c:lblAlgn val="ctr"/>
        <c:lblOffset val="100"/>
        <c:noMultiLvlLbl val="0"/>
      </c:catAx>
      <c:valAx>
        <c:axId val="319118495"/>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251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pivotSource>
    <c:name>[WF LTC SNS 01-04-2022.xlsx]C. Chart Data!PivotTable6</c:name>
    <c:fmtId val="2"/>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ACT</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0"/>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1"/>
        <c:spPr>
          <a:ln w="28575" cap="rnd">
            <a:solidFill>
              <a:schemeClr val="accent3"/>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strRef>
              <c:f>'C. Chart Data'!$C$56:$C$58</c:f>
              <c:strCache>
                <c:ptCount val="1"/>
                <c:pt idx="0">
                  <c:v> Crawley Road Medical Centre - ACT %</c:v>
                </c:pt>
              </c:strCache>
            </c:strRef>
          </c:tx>
          <c:spPr>
            <a:ln w="28575" cap="rnd">
              <a:solidFill>
                <a:schemeClr val="accent1"/>
              </a:solidFill>
              <a:round/>
            </a:ln>
            <a:effectLst/>
          </c:spPr>
          <c:marker>
            <c:symbol val="none"/>
          </c:marker>
          <c:cat>
            <c:strRef>
              <c:f>'C. Chart Data'!$B$59:$B$72</c:f>
              <c:strCache>
                <c:ptCount val="13"/>
                <c:pt idx="0">
                  <c:v>01/04/2021</c:v>
                </c:pt>
                <c:pt idx="1">
                  <c:v>01/05/2021</c:v>
                </c:pt>
                <c:pt idx="2">
                  <c:v>01/06/2021</c:v>
                </c:pt>
                <c:pt idx="3">
                  <c:v>01/07/2021</c:v>
                </c:pt>
                <c:pt idx="4">
                  <c:v>01/08/2021</c:v>
                </c:pt>
                <c:pt idx="5">
                  <c:v>01/09/2021</c:v>
                </c:pt>
                <c:pt idx="6">
                  <c:v>01/10/2021</c:v>
                </c:pt>
                <c:pt idx="7">
                  <c:v>01/11/2021</c:v>
                </c:pt>
                <c:pt idx="8">
                  <c:v>01/12/2021</c:v>
                </c:pt>
                <c:pt idx="9">
                  <c:v>01/01/2022</c:v>
                </c:pt>
                <c:pt idx="10">
                  <c:v>01/02/2022</c:v>
                </c:pt>
                <c:pt idx="11">
                  <c:v>01/03/2022</c:v>
                </c:pt>
                <c:pt idx="12">
                  <c:v>01/04/2022</c:v>
                </c:pt>
              </c:strCache>
            </c:strRef>
          </c:cat>
          <c:val>
            <c:numRef>
              <c:f>'C. Chart Data'!$C$59:$C$72</c:f>
              <c:numCache>
                <c:formatCode>General</c:formatCode>
                <c:ptCount val="13"/>
                <c:pt idx="0">
                  <c:v>0.26747720364741639</c:v>
                </c:pt>
                <c:pt idx="1">
                  <c:v>0.29938271604938271</c:v>
                </c:pt>
                <c:pt idx="2">
                  <c:v>0.3503184713375796</c:v>
                </c:pt>
                <c:pt idx="3">
                  <c:v>0.41904761904761906</c:v>
                </c:pt>
                <c:pt idx="4">
                  <c:v>0.569620253164557</c:v>
                </c:pt>
                <c:pt idx="5">
                  <c:v>0.63522012578616349</c:v>
                </c:pt>
                <c:pt idx="6">
                  <c:v>0.69206349206349205</c:v>
                </c:pt>
                <c:pt idx="7">
                  <c:v>0.72585669781931461</c:v>
                </c:pt>
                <c:pt idx="8">
                  <c:v>0.78153846153846152</c:v>
                </c:pt>
                <c:pt idx="9">
                  <c:v>0.82831325301204817</c:v>
                </c:pt>
                <c:pt idx="10">
                  <c:v>0.84036144578313254</c:v>
                </c:pt>
                <c:pt idx="11">
                  <c:v>0.85410334346504557</c:v>
                </c:pt>
                <c:pt idx="12">
                  <c:v>0.84848484848484851</c:v>
                </c:pt>
              </c:numCache>
            </c:numRef>
          </c:val>
          <c:smooth val="0"/>
          <c:extLst>
            <c:ext xmlns:c16="http://schemas.microsoft.com/office/drawing/2014/chart" uri="{C3380CC4-5D6E-409C-BE32-E72D297353CC}">
              <c16:uniqueId val="{00000003-41B0-4A25-ABF5-560A63C9B26F}"/>
            </c:ext>
          </c:extLst>
        </c:ser>
        <c:ser>
          <c:idx val="1"/>
          <c:order val="1"/>
          <c:tx>
            <c:strRef>
              <c:f>'C. Chart Data'!$D$56:$D$58</c:f>
              <c:strCache>
                <c:ptCount val="1"/>
                <c:pt idx="0">
                  <c:v> Crawley Road Medical Centre - Target  80%</c:v>
                </c:pt>
              </c:strCache>
            </c:strRef>
          </c:tx>
          <c:spPr>
            <a:ln w="28575" cap="rnd">
              <a:solidFill>
                <a:schemeClr val="accent3"/>
              </a:solidFill>
              <a:round/>
            </a:ln>
            <a:effectLst/>
          </c:spPr>
          <c:marker>
            <c:symbol val="none"/>
          </c:marker>
          <c:cat>
            <c:strRef>
              <c:f>'C. Chart Data'!$B$59:$B$72</c:f>
              <c:strCache>
                <c:ptCount val="13"/>
                <c:pt idx="0">
                  <c:v>01/04/2021</c:v>
                </c:pt>
                <c:pt idx="1">
                  <c:v>01/05/2021</c:v>
                </c:pt>
                <c:pt idx="2">
                  <c:v>01/06/2021</c:v>
                </c:pt>
                <c:pt idx="3">
                  <c:v>01/07/2021</c:v>
                </c:pt>
                <c:pt idx="4">
                  <c:v>01/08/2021</c:v>
                </c:pt>
                <c:pt idx="5">
                  <c:v>01/09/2021</c:v>
                </c:pt>
                <c:pt idx="6">
                  <c:v>01/10/2021</c:v>
                </c:pt>
                <c:pt idx="7">
                  <c:v>01/11/2021</c:v>
                </c:pt>
                <c:pt idx="8">
                  <c:v>01/12/2021</c:v>
                </c:pt>
                <c:pt idx="9">
                  <c:v>01/01/2022</c:v>
                </c:pt>
                <c:pt idx="10">
                  <c:v>01/02/2022</c:v>
                </c:pt>
                <c:pt idx="11">
                  <c:v>01/03/2022</c:v>
                </c:pt>
                <c:pt idx="12">
                  <c:v>01/04/2022</c:v>
                </c:pt>
              </c:strCache>
            </c:strRef>
          </c:cat>
          <c:val>
            <c:numRef>
              <c:f>'C. Chart Data'!$D$59:$D$72</c:f>
              <c:numCache>
                <c:formatCode>General</c:formatCode>
                <c:ptCount val="13"/>
                <c:pt idx="0">
                  <c:v>0.8</c:v>
                </c:pt>
                <c:pt idx="1">
                  <c:v>0.8</c:v>
                </c:pt>
                <c:pt idx="2">
                  <c:v>0.8</c:v>
                </c:pt>
                <c:pt idx="3">
                  <c:v>0.8</c:v>
                </c:pt>
                <c:pt idx="4">
                  <c:v>0.8</c:v>
                </c:pt>
                <c:pt idx="5">
                  <c:v>0.8</c:v>
                </c:pt>
                <c:pt idx="6">
                  <c:v>0.8</c:v>
                </c:pt>
                <c:pt idx="7">
                  <c:v>0.8</c:v>
                </c:pt>
                <c:pt idx="8">
                  <c:v>0.8</c:v>
                </c:pt>
                <c:pt idx="9">
                  <c:v>0.8</c:v>
                </c:pt>
                <c:pt idx="10">
                  <c:v>0.8</c:v>
                </c:pt>
                <c:pt idx="11">
                  <c:v>0.8</c:v>
                </c:pt>
                <c:pt idx="12">
                  <c:v>0.8</c:v>
                </c:pt>
              </c:numCache>
            </c:numRef>
          </c:val>
          <c:smooth val="0"/>
          <c:extLst>
            <c:ext xmlns:c16="http://schemas.microsoft.com/office/drawing/2014/chart" uri="{C3380CC4-5D6E-409C-BE32-E72D297353CC}">
              <c16:uniqueId val="{00000004-41B0-4A25-ABF5-560A63C9B26F}"/>
            </c:ext>
          </c:extLst>
        </c:ser>
        <c:dLbls>
          <c:showLegendKey val="0"/>
          <c:showVal val="0"/>
          <c:showCatName val="0"/>
          <c:showSerName val="0"/>
          <c:showPercent val="0"/>
          <c:showBubbleSize val="0"/>
        </c:dLbls>
        <c:smooth val="0"/>
        <c:axId val="319125151"/>
        <c:axId val="319118495"/>
      </c:lineChart>
      <c:catAx>
        <c:axId val="31912515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18495"/>
        <c:crosses val="autoZero"/>
        <c:auto val="1"/>
        <c:lblAlgn val="ctr"/>
        <c:lblOffset val="100"/>
        <c:noMultiLvlLbl val="0"/>
      </c:catAx>
      <c:valAx>
        <c:axId val="319118495"/>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251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pivotSource>
    <c:name>[WF LTC SNS 01-04-2022.xlsx]D. Chart Data!PivotTable1</c:name>
    <c:fmtId val="2"/>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Hypertension</a:t>
            </a:r>
            <a:r>
              <a:rPr lang="en-GB" baseline="0"/>
              <a:t> 15 on Target</a:t>
            </a:r>
            <a:endParaRPr lang="en-GB"/>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2"/>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3"/>
        <c:spPr>
          <a:ln w="28575" cap="rnd">
            <a:solidFill>
              <a:schemeClr val="accent3"/>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strRef>
              <c:f>'D. Chart Data'!$C$3:$C$5</c:f>
              <c:strCache>
                <c:ptCount val="1"/>
                <c:pt idx="0">
                  <c:v> Crawley Road Medical Centre - 15 On Target %</c:v>
                </c:pt>
              </c:strCache>
            </c:strRef>
          </c:tx>
          <c:spPr>
            <a:ln w="28575" cap="rnd">
              <a:solidFill>
                <a:schemeClr val="accent1"/>
              </a:solidFill>
              <a:round/>
            </a:ln>
            <a:effectLst/>
          </c:spPr>
          <c:marker>
            <c:symbol val="none"/>
          </c:marker>
          <c:cat>
            <c:strRef>
              <c:f>'D. Chart Data'!$B$6:$B$19</c:f>
              <c:strCache>
                <c:ptCount val="13"/>
                <c:pt idx="0">
                  <c:v>01/04/2021</c:v>
                </c:pt>
                <c:pt idx="1">
                  <c:v>01/05/2021</c:v>
                </c:pt>
                <c:pt idx="2">
                  <c:v>01/06/2021</c:v>
                </c:pt>
                <c:pt idx="3">
                  <c:v>01/07/2021</c:v>
                </c:pt>
                <c:pt idx="4">
                  <c:v>01/08/2021</c:v>
                </c:pt>
                <c:pt idx="5">
                  <c:v>01/09/2021</c:v>
                </c:pt>
                <c:pt idx="6">
                  <c:v>01/10/2021</c:v>
                </c:pt>
                <c:pt idx="7">
                  <c:v>01/11/2021</c:v>
                </c:pt>
                <c:pt idx="8">
                  <c:v>01/12/2021</c:v>
                </c:pt>
                <c:pt idx="9">
                  <c:v>01/01/2022</c:v>
                </c:pt>
                <c:pt idx="10">
                  <c:v>01/02/2022</c:v>
                </c:pt>
                <c:pt idx="11">
                  <c:v>01/03/2022</c:v>
                </c:pt>
                <c:pt idx="12">
                  <c:v>01/04/2022</c:v>
                </c:pt>
              </c:strCache>
            </c:strRef>
          </c:cat>
          <c:val>
            <c:numRef>
              <c:f>'D. Chart Data'!$C$6:$C$19</c:f>
              <c:numCache>
                <c:formatCode>General</c:formatCode>
                <c:ptCount val="13"/>
                <c:pt idx="0">
                  <c:v>0.32037533512064342</c:v>
                </c:pt>
                <c:pt idx="1">
                  <c:v>0.32210242587601079</c:v>
                </c:pt>
                <c:pt idx="2">
                  <c:v>0.33109919571045576</c:v>
                </c:pt>
                <c:pt idx="3">
                  <c:v>0.34404283801874164</c:v>
                </c:pt>
                <c:pt idx="4">
                  <c:v>0.37150466045272967</c:v>
                </c:pt>
                <c:pt idx="5">
                  <c:v>0.37830687830687831</c:v>
                </c:pt>
                <c:pt idx="6">
                  <c:v>0.37051792828685259</c:v>
                </c:pt>
                <c:pt idx="7">
                  <c:v>0.39600000000000002</c:v>
                </c:pt>
                <c:pt idx="8">
                  <c:v>0.44400000000000001</c:v>
                </c:pt>
                <c:pt idx="9">
                  <c:v>0.44090305444887118</c:v>
                </c:pt>
                <c:pt idx="10">
                  <c:v>0.4631578947368421</c:v>
                </c:pt>
                <c:pt idx="11">
                  <c:v>0.46850393700787402</c:v>
                </c:pt>
                <c:pt idx="12">
                  <c:v>0.51178010471204194</c:v>
                </c:pt>
              </c:numCache>
            </c:numRef>
          </c:val>
          <c:smooth val="0"/>
          <c:extLst>
            <c:ext xmlns:c16="http://schemas.microsoft.com/office/drawing/2014/chart" uri="{C3380CC4-5D6E-409C-BE32-E72D297353CC}">
              <c16:uniqueId val="{00000000-7225-4A82-B6F2-4FA75E5F55D8}"/>
            </c:ext>
          </c:extLst>
        </c:ser>
        <c:ser>
          <c:idx val="1"/>
          <c:order val="1"/>
          <c:tx>
            <c:strRef>
              <c:f>'D. Chart Data'!$D$3:$D$5</c:f>
              <c:strCache>
                <c:ptCount val="1"/>
                <c:pt idx="0">
                  <c:v> Crawley Road Medical Centre - Target 50%</c:v>
                </c:pt>
              </c:strCache>
            </c:strRef>
          </c:tx>
          <c:spPr>
            <a:ln w="28575" cap="rnd">
              <a:solidFill>
                <a:schemeClr val="accent3"/>
              </a:solidFill>
              <a:round/>
            </a:ln>
            <a:effectLst/>
          </c:spPr>
          <c:marker>
            <c:symbol val="none"/>
          </c:marker>
          <c:cat>
            <c:strRef>
              <c:f>'D. Chart Data'!$B$6:$B$19</c:f>
              <c:strCache>
                <c:ptCount val="13"/>
                <c:pt idx="0">
                  <c:v>01/04/2021</c:v>
                </c:pt>
                <c:pt idx="1">
                  <c:v>01/05/2021</c:v>
                </c:pt>
                <c:pt idx="2">
                  <c:v>01/06/2021</c:v>
                </c:pt>
                <c:pt idx="3">
                  <c:v>01/07/2021</c:v>
                </c:pt>
                <c:pt idx="4">
                  <c:v>01/08/2021</c:v>
                </c:pt>
                <c:pt idx="5">
                  <c:v>01/09/2021</c:v>
                </c:pt>
                <c:pt idx="6">
                  <c:v>01/10/2021</c:v>
                </c:pt>
                <c:pt idx="7">
                  <c:v>01/11/2021</c:v>
                </c:pt>
                <c:pt idx="8">
                  <c:v>01/12/2021</c:v>
                </c:pt>
                <c:pt idx="9">
                  <c:v>01/01/2022</c:v>
                </c:pt>
                <c:pt idx="10">
                  <c:v>01/02/2022</c:v>
                </c:pt>
                <c:pt idx="11">
                  <c:v>01/03/2022</c:v>
                </c:pt>
                <c:pt idx="12">
                  <c:v>01/04/2022</c:v>
                </c:pt>
              </c:strCache>
            </c:strRef>
          </c:cat>
          <c:val>
            <c:numRef>
              <c:f>'D. Chart Data'!$D$6:$D$19</c:f>
              <c:numCache>
                <c:formatCode>General</c:formatCode>
                <c:ptCount val="13"/>
                <c:pt idx="0">
                  <c:v>0.5</c:v>
                </c:pt>
                <c:pt idx="1">
                  <c:v>0.5</c:v>
                </c:pt>
                <c:pt idx="2">
                  <c:v>0.5</c:v>
                </c:pt>
                <c:pt idx="3">
                  <c:v>0.5</c:v>
                </c:pt>
                <c:pt idx="4">
                  <c:v>0.5</c:v>
                </c:pt>
                <c:pt idx="5">
                  <c:v>0.5</c:v>
                </c:pt>
                <c:pt idx="6">
                  <c:v>0.5</c:v>
                </c:pt>
                <c:pt idx="7">
                  <c:v>0.5</c:v>
                </c:pt>
                <c:pt idx="8">
                  <c:v>0.5</c:v>
                </c:pt>
                <c:pt idx="9">
                  <c:v>0.5</c:v>
                </c:pt>
                <c:pt idx="10">
                  <c:v>0.5</c:v>
                </c:pt>
                <c:pt idx="11">
                  <c:v>0.5</c:v>
                </c:pt>
                <c:pt idx="12">
                  <c:v>0.5</c:v>
                </c:pt>
              </c:numCache>
            </c:numRef>
          </c:val>
          <c:smooth val="0"/>
          <c:extLst>
            <c:ext xmlns:c16="http://schemas.microsoft.com/office/drawing/2014/chart" uri="{C3380CC4-5D6E-409C-BE32-E72D297353CC}">
              <c16:uniqueId val="{00000001-7225-4A82-B6F2-4FA75E5F55D8}"/>
            </c:ext>
          </c:extLst>
        </c:ser>
        <c:dLbls>
          <c:showLegendKey val="0"/>
          <c:showVal val="0"/>
          <c:showCatName val="0"/>
          <c:showSerName val="0"/>
          <c:showPercent val="0"/>
          <c:showBubbleSize val="0"/>
        </c:dLbls>
        <c:smooth val="0"/>
        <c:axId val="319125151"/>
        <c:axId val="319118495"/>
      </c:lineChart>
      <c:catAx>
        <c:axId val="31912515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18495"/>
        <c:crosses val="autoZero"/>
        <c:auto val="1"/>
        <c:lblAlgn val="ctr"/>
        <c:lblOffset val="100"/>
        <c:noMultiLvlLbl val="0"/>
      </c:catAx>
      <c:valAx>
        <c:axId val="319118495"/>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251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pivotSource>
    <c:name>[WF LTC SNS 01-04-2022.xlsx]D. Chart Data!PivotTable2</c:name>
    <c:fmtId val="2"/>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12 Off</a:t>
            </a:r>
            <a:r>
              <a:rPr lang="en-GB" baseline="0"/>
              <a:t> Target with Clinical Review</a:t>
            </a:r>
            <a:endParaRPr lang="en-GB"/>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0"/>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2"/>
        <c:spPr>
          <a:ln w="28575" cap="rnd">
            <a:solidFill>
              <a:schemeClr val="accent3"/>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strRef>
              <c:f>'D. Chart Data'!$C$36:$C$38</c:f>
              <c:strCache>
                <c:ptCount val="1"/>
                <c:pt idx="0">
                  <c:v> Crawley Road Medical Centre - 12 Off Target  %</c:v>
                </c:pt>
              </c:strCache>
            </c:strRef>
          </c:tx>
          <c:spPr>
            <a:ln w="28575" cap="rnd">
              <a:solidFill>
                <a:schemeClr val="accent1"/>
              </a:solidFill>
              <a:round/>
            </a:ln>
            <a:effectLst/>
          </c:spPr>
          <c:marker>
            <c:symbol val="none"/>
          </c:marker>
          <c:cat>
            <c:strRef>
              <c:f>'D. Chart Data'!$B$39:$B$52</c:f>
              <c:strCache>
                <c:ptCount val="13"/>
                <c:pt idx="0">
                  <c:v>01/04/2021</c:v>
                </c:pt>
                <c:pt idx="1">
                  <c:v>01/05/2021</c:v>
                </c:pt>
                <c:pt idx="2">
                  <c:v>01/06/2021</c:v>
                </c:pt>
                <c:pt idx="3">
                  <c:v>01/07/2021</c:v>
                </c:pt>
                <c:pt idx="4">
                  <c:v>01/08/2021</c:v>
                </c:pt>
                <c:pt idx="5">
                  <c:v>01/09/2021</c:v>
                </c:pt>
                <c:pt idx="6">
                  <c:v>01/10/2021</c:v>
                </c:pt>
                <c:pt idx="7">
                  <c:v>01/11/2021</c:v>
                </c:pt>
                <c:pt idx="8">
                  <c:v>01/12/2021</c:v>
                </c:pt>
                <c:pt idx="9">
                  <c:v>01/01/2022</c:v>
                </c:pt>
                <c:pt idx="10">
                  <c:v>01/02/2022</c:v>
                </c:pt>
                <c:pt idx="11">
                  <c:v>01/03/2022</c:v>
                </c:pt>
                <c:pt idx="12">
                  <c:v>01/04/2022</c:v>
                </c:pt>
              </c:strCache>
            </c:strRef>
          </c:cat>
          <c:val>
            <c:numRef>
              <c:f>'D. Chart Data'!$C$39:$C$52</c:f>
              <c:numCache>
                <c:formatCode>General</c:formatCode>
                <c:ptCount val="13"/>
                <c:pt idx="0">
                  <c:v>0.13609467455621302</c:v>
                </c:pt>
                <c:pt idx="1">
                  <c:v>0.15308151093439365</c:v>
                </c:pt>
                <c:pt idx="2">
                  <c:v>0.18637274549098196</c:v>
                </c:pt>
                <c:pt idx="3">
                  <c:v>0.19387755102040816</c:v>
                </c:pt>
                <c:pt idx="4">
                  <c:v>0.22033898305084745</c:v>
                </c:pt>
                <c:pt idx="5">
                  <c:v>0.2404255319148936</c:v>
                </c:pt>
                <c:pt idx="6">
                  <c:v>0.21729957805907174</c:v>
                </c:pt>
                <c:pt idx="7">
                  <c:v>0.22958057395143489</c:v>
                </c:pt>
                <c:pt idx="8">
                  <c:v>0.23980815347721823</c:v>
                </c:pt>
                <c:pt idx="9">
                  <c:v>0.21140142517814728</c:v>
                </c:pt>
                <c:pt idx="10">
                  <c:v>0.2107843137254902</c:v>
                </c:pt>
                <c:pt idx="11">
                  <c:v>0.21234567901234569</c:v>
                </c:pt>
                <c:pt idx="12">
                  <c:v>0.20911528150134048</c:v>
                </c:pt>
              </c:numCache>
            </c:numRef>
          </c:val>
          <c:smooth val="0"/>
          <c:extLst>
            <c:ext xmlns:c16="http://schemas.microsoft.com/office/drawing/2014/chart" uri="{C3380CC4-5D6E-409C-BE32-E72D297353CC}">
              <c16:uniqueId val="{00000000-1156-43D8-A17C-A960496E9877}"/>
            </c:ext>
          </c:extLst>
        </c:ser>
        <c:ser>
          <c:idx val="1"/>
          <c:order val="1"/>
          <c:tx>
            <c:strRef>
              <c:f>'D. Chart Data'!$D$36:$D$38</c:f>
              <c:strCache>
                <c:ptCount val="1"/>
                <c:pt idx="0">
                  <c:v> Crawley Road Medical Centre - Target 25%</c:v>
                </c:pt>
              </c:strCache>
            </c:strRef>
          </c:tx>
          <c:spPr>
            <a:ln w="28575" cap="rnd">
              <a:solidFill>
                <a:schemeClr val="accent3"/>
              </a:solidFill>
              <a:round/>
            </a:ln>
            <a:effectLst/>
          </c:spPr>
          <c:marker>
            <c:symbol val="none"/>
          </c:marker>
          <c:cat>
            <c:strRef>
              <c:f>'D. Chart Data'!$B$39:$B$52</c:f>
              <c:strCache>
                <c:ptCount val="13"/>
                <c:pt idx="0">
                  <c:v>01/04/2021</c:v>
                </c:pt>
                <c:pt idx="1">
                  <c:v>01/05/2021</c:v>
                </c:pt>
                <c:pt idx="2">
                  <c:v>01/06/2021</c:v>
                </c:pt>
                <c:pt idx="3">
                  <c:v>01/07/2021</c:v>
                </c:pt>
                <c:pt idx="4">
                  <c:v>01/08/2021</c:v>
                </c:pt>
                <c:pt idx="5">
                  <c:v>01/09/2021</c:v>
                </c:pt>
                <c:pt idx="6">
                  <c:v>01/10/2021</c:v>
                </c:pt>
                <c:pt idx="7">
                  <c:v>01/11/2021</c:v>
                </c:pt>
                <c:pt idx="8">
                  <c:v>01/12/2021</c:v>
                </c:pt>
                <c:pt idx="9">
                  <c:v>01/01/2022</c:v>
                </c:pt>
                <c:pt idx="10">
                  <c:v>01/02/2022</c:v>
                </c:pt>
                <c:pt idx="11">
                  <c:v>01/03/2022</c:v>
                </c:pt>
                <c:pt idx="12">
                  <c:v>01/04/2022</c:v>
                </c:pt>
              </c:strCache>
            </c:strRef>
          </c:cat>
          <c:val>
            <c:numRef>
              <c:f>'D. Chart Data'!$D$39:$D$52</c:f>
              <c:numCache>
                <c:formatCode>General</c:formatCode>
                <c:ptCount val="13"/>
                <c:pt idx="0">
                  <c:v>0.25</c:v>
                </c:pt>
                <c:pt idx="1">
                  <c:v>0.25</c:v>
                </c:pt>
                <c:pt idx="2">
                  <c:v>0.25</c:v>
                </c:pt>
                <c:pt idx="3">
                  <c:v>0.25</c:v>
                </c:pt>
                <c:pt idx="4">
                  <c:v>0.25</c:v>
                </c:pt>
                <c:pt idx="5">
                  <c:v>0.25</c:v>
                </c:pt>
                <c:pt idx="6">
                  <c:v>0.25</c:v>
                </c:pt>
                <c:pt idx="7">
                  <c:v>0.25</c:v>
                </c:pt>
                <c:pt idx="8">
                  <c:v>0.25</c:v>
                </c:pt>
                <c:pt idx="9">
                  <c:v>0.25</c:v>
                </c:pt>
                <c:pt idx="10">
                  <c:v>0.25</c:v>
                </c:pt>
                <c:pt idx="11">
                  <c:v>0.25</c:v>
                </c:pt>
                <c:pt idx="12">
                  <c:v>0.25</c:v>
                </c:pt>
              </c:numCache>
            </c:numRef>
          </c:val>
          <c:smooth val="0"/>
          <c:extLst>
            <c:ext xmlns:c16="http://schemas.microsoft.com/office/drawing/2014/chart" uri="{C3380CC4-5D6E-409C-BE32-E72D297353CC}">
              <c16:uniqueId val="{00000001-1156-43D8-A17C-A960496E9877}"/>
            </c:ext>
          </c:extLst>
        </c:ser>
        <c:dLbls>
          <c:showLegendKey val="0"/>
          <c:showVal val="0"/>
          <c:showCatName val="0"/>
          <c:showSerName val="0"/>
          <c:showPercent val="0"/>
          <c:showBubbleSize val="0"/>
        </c:dLbls>
        <c:smooth val="0"/>
        <c:axId val="319125151"/>
        <c:axId val="319118495"/>
      </c:lineChart>
      <c:catAx>
        <c:axId val="31912515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18495"/>
        <c:crosses val="autoZero"/>
        <c:auto val="1"/>
        <c:lblAlgn val="ctr"/>
        <c:lblOffset val="100"/>
        <c:noMultiLvlLbl val="0"/>
      </c:catAx>
      <c:valAx>
        <c:axId val="319118495"/>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251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pivotSource>
    <c:name>[WF LTC SNS 01-04-2022.xlsx]E. Chart Data!PivotTable3</c:name>
    <c:fmtId val="2"/>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1</a:t>
            </a:r>
            <a:r>
              <a:rPr lang="en-GB" baseline="0"/>
              <a:t>3 Secondary prevention statins prescribed or offered</a:t>
            </a:r>
            <a:endParaRPr lang="en-GB"/>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2"/>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3"/>
        <c:spPr>
          <a:ln w="28575" cap="rnd">
            <a:solidFill>
              <a:schemeClr val="accent3"/>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strRef>
              <c:f>'E. Chart Data'!$C$3:$C$5</c:f>
              <c:strCache>
                <c:ptCount val="1"/>
                <c:pt idx="0">
                  <c:v> Crawley Road Medical Centre - CHD  %</c:v>
                </c:pt>
              </c:strCache>
            </c:strRef>
          </c:tx>
          <c:spPr>
            <a:ln w="28575" cap="rnd">
              <a:solidFill>
                <a:schemeClr val="accent1"/>
              </a:solidFill>
              <a:round/>
            </a:ln>
            <a:effectLst/>
          </c:spPr>
          <c:marker>
            <c:symbol val="none"/>
          </c:marker>
          <c:cat>
            <c:strRef>
              <c:f>'E. Chart Data'!$B$6:$B$19</c:f>
              <c:strCache>
                <c:ptCount val="13"/>
                <c:pt idx="0">
                  <c:v>01/04/2021</c:v>
                </c:pt>
                <c:pt idx="1">
                  <c:v>01/05/2021</c:v>
                </c:pt>
                <c:pt idx="2">
                  <c:v>01/06/2021</c:v>
                </c:pt>
                <c:pt idx="3">
                  <c:v>01/07/2021</c:v>
                </c:pt>
                <c:pt idx="4">
                  <c:v>01/08/2021</c:v>
                </c:pt>
                <c:pt idx="5">
                  <c:v>01/09/2021</c:v>
                </c:pt>
                <c:pt idx="6">
                  <c:v>01/10/2021</c:v>
                </c:pt>
                <c:pt idx="7">
                  <c:v>01/11/2021</c:v>
                </c:pt>
                <c:pt idx="8">
                  <c:v>01/12/2021</c:v>
                </c:pt>
                <c:pt idx="9">
                  <c:v>01/01/2022</c:v>
                </c:pt>
                <c:pt idx="10">
                  <c:v>01/02/2022</c:v>
                </c:pt>
                <c:pt idx="11">
                  <c:v>01/03/2022</c:v>
                </c:pt>
                <c:pt idx="12">
                  <c:v>01/04/2022</c:v>
                </c:pt>
              </c:strCache>
            </c:strRef>
          </c:cat>
          <c:val>
            <c:numRef>
              <c:f>'E. Chart Data'!$C$6:$C$19</c:f>
              <c:numCache>
                <c:formatCode>General</c:formatCode>
                <c:ptCount val="13"/>
                <c:pt idx="0">
                  <c:v>0.58620689655172409</c:v>
                </c:pt>
                <c:pt idx="1">
                  <c:v>0.58620689655172409</c:v>
                </c:pt>
                <c:pt idx="2">
                  <c:v>0.57638888888888884</c:v>
                </c:pt>
                <c:pt idx="3">
                  <c:v>0.58041958041958042</c:v>
                </c:pt>
                <c:pt idx="4">
                  <c:v>0.57342657342657344</c:v>
                </c:pt>
                <c:pt idx="5">
                  <c:v>0.57241379310344831</c:v>
                </c:pt>
                <c:pt idx="6">
                  <c:v>0.56849315068493156</c:v>
                </c:pt>
                <c:pt idx="7">
                  <c:v>0.55033557046979864</c:v>
                </c:pt>
                <c:pt idx="8">
                  <c:v>0.56375838926174493</c:v>
                </c:pt>
                <c:pt idx="9">
                  <c:v>0.56756756756756754</c:v>
                </c:pt>
                <c:pt idx="10">
                  <c:v>0.57333333333333336</c:v>
                </c:pt>
                <c:pt idx="11">
                  <c:v>0.57718120805369133</c:v>
                </c:pt>
                <c:pt idx="12">
                  <c:v>0.57333333333333336</c:v>
                </c:pt>
              </c:numCache>
            </c:numRef>
          </c:val>
          <c:smooth val="0"/>
          <c:extLst>
            <c:ext xmlns:c16="http://schemas.microsoft.com/office/drawing/2014/chart" uri="{C3380CC4-5D6E-409C-BE32-E72D297353CC}">
              <c16:uniqueId val="{00000000-70BA-41BE-A248-CCDFB29B3C36}"/>
            </c:ext>
          </c:extLst>
        </c:ser>
        <c:ser>
          <c:idx val="1"/>
          <c:order val="1"/>
          <c:tx>
            <c:strRef>
              <c:f>'E. Chart Data'!$D$3:$D$5</c:f>
              <c:strCache>
                <c:ptCount val="1"/>
                <c:pt idx="0">
                  <c:v> Crawley Road Medical Centre - Target 49%</c:v>
                </c:pt>
              </c:strCache>
            </c:strRef>
          </c:tx>
          <c:spPr>
            <a:ln w="28575" cap="rnd">
              <a:solidFill>
                <a:schemeClr val="accent3"/>
              </a:solidFill>
              <a:round/>
            </a:ln>
            <a:effectLst/>
          </c:spPr>
          <c:marker>
            <c:symbol val="none"/>
          </c:marker>
          <c:cat>
            <c:strRef>
              <c:f>'E. Chart Data'!$B$6:$B$19</c:f>
              <c:strCache>
                <c:ptCount val="13"/>
                <c:pt idx="0">
                  <c:v>01/04/2021</c:v>
                </c:pt>
                <c:pt idx="1">
                  <c:v>01/05/2021</c:v>
                </c:pt>
                <c:pt idx="2">
                  <c:v>01/06/2021</c:v>
                </c:pt>
                <c:pt idx="3">
                  <c:v>01/07/2021</c:v>
                </c:pt>
                <c:pt idx="4">
                  <c:v>01/08/2021</c:v>
                </c:pt>
                <c:pt idx="5">
                  <c:v>01/09/2021</c:v>
                </c:pt>
                <c:pt idx="6">
                  <c:v>01/10/2021</c:v>
                </c:pt>
                <c:pt idx="7">
                  <c:v>01/11/2021</c:v>
                </c:pt>
                <c:pt idx="8">
                  <c:v>01/12/2021</c:v>
                </c:pt>
                <c:pt idx="9">
                  <c:v>01/01/2022</c:v>
                </c:pt>
                <c:pt idx="10">
                  <c:v>01/02/2022</c:v>
                </c:pt>
                <c:pt idx="11">
                  <c:v>01/03/2022</c:v>
                </c:pt>
                <c:pt idx="12">
                  <c:v>01/04/2022</c:v>
                </c:pt>
              </c:strCache>
            </c:strRef>
          </c:cat>
          <c:val>
            <c:numRef>
              <c:f>'E. Chart Data'!$D$6:$D$19</c:f>
              <c:numCache>
                <c:formatCode>General</c:formatCode>
                <c:ptCount val="13"/>
                <c:pt idx="0">
                  <c:v>0.49</c:v>
                </c:pt>
                <c:pt idx="1">
                  <c:v>0.49</c:v>
                </c:pt>
                <c:pt idx="2">
                  <c:v>0.49</c:v>
                </c:pt>
                <c:pt idx="3">
                  <c:v>0.49</c:v>
                </c:pt>
                <c:pt idx="4">
                  <c:v>0.49</c:v>
                </c:pt>
                <c:pt idx="5">
                  <c:v>0.49</c:v>
                </c:pt>
                <c:pt idx="6">
                  <c:v>0.49</c:v>
                </c:pt>
                <c:pt idx="7">
                  <c:v>0.49</c:v>
                </c:pt>
                <c:pt idx="8">
                  <c:v>0.49</c:v>
                </c:pt>
                <c:pt idx="9">
                  <c:v>0.49</c:v>
                </c:pt>
                <c:pt idx="10">
                  <c:v>0.49</c:v>
                </c:pt>
                <c:pt idx="11">
                  <c:v>0.49</c:v>
                </c:pt>
                <c:pt idx="12">
                  <c:v>0.49</c:v>
                </c:pt>
              </c:numCache>
            </c:numRef>
          </c:val>
          <c:smooth val="0"/>
          <c:extLst>
            <c:ext xmlns:c16="http://schemas.microsoft.com/office/drawing/2014/chart" uri="{C3380CC4-5D6E-409C-BE32-E72D297353CC}">
              <c16:uniqueId val="{00000001-70BA-41BE-A248-CCDFB29B3C36}"/>
            </c:ext>
          </c:extLst>
        </c:ser>
        <c:dLbls>
          <c:showLegendKey val="0"/>
          <c:showVal val="0"/>
          <c:showCatName val="0"/>
          <c:showSerName val="0"/>
          <c:showPercent val="0"/>
          <c:showBubbleSize val="0"/>
        </c:dLbls>
        <c:smooth val="0"/>
        <c:axId val="319125151"/>
        <c:axId val="319118495"/>
      </c:lineChart>
      <c:catAx>
        <c:axId val="31912515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18495"/>
        <c:crosses val="autoZero"/>
        <c:auto val="1"/>
        <c:lblAlgn val="ctr"/>
        <c:lblOffset val="100"/>
        <c:noMultiLvlLbl val="0"/>
      </c:catAx>
      <c:valAx>
        <c:axId val="319118495"/>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251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pivotSource>
    <c:name>[WF LTC SNS 01-04-2022.xlsx]F. Chart data!PivotTable4</c:name>
    <c:fmtId val="2"/>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Not</a:t>
            </a:r>
            <a:r>
              <a:rPr lang="en-GB" baseline="0"/>
              <a:t> on PPI with Review</a:t>
            </a:r>
            <a:endParaRPr lang="en-GB"/>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9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0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2"/>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3"/>
        <c:spPr>
          <a:ln w="28575" cap="rnd">
            <a:solidFill>
              <a:schemeClr val="accent3"/>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2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3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6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7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8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strRef>
              <c:f>'F. Chart data'!$C$3:$C$5</c:f>
              <c:strCache>
                <c:ptCount val="1"/>
                <c:pt idx="0">
                  <c:v> Crawley Road Medical Centre - Not on PPI %</c:v>
                </c:pt>
              </c:strCache>
            </c:strRef>
          </c:tx>
          <c:spPr>
            <a:ln w="28575" cap="rnd">
              <a:solidFill>
                <a:schemeClr val="accent1"/>
              </a:solidFill>
              <a:round/>
            </a:ln>
            <a:effectLst/>
          </c:spPr>
          <c:marker>
            <c:symbol val="none"/>
          </c:marker>
          <c:cat>
            <c:strRef>
              <c:f>'F. Chart data'!$B$6:$B$19</c:f>
              <c:strCache>
                <c:ptCount val="13"/>
                <c:pt idx="0">
                  <c:v>01/04/2021</c:v>
                </c:pt>
                <c:pt idx="1">
                  <c:v>01/05/2021</c:v>
                </c:pt>
                <c:pt idx="2">
                  <c:v>01/06/2021</c:v>
                </c:pt>
                <c:pt idx="3">
                  <c:v>01/07/2021</c:v>
                </c:pt>
                <c:pt idx="4">
                  <c:v>01/08/2021</c:v>
                </c:pt>
                <c:pt idx="5">
                  <c:v>01/09/2021</c:v>
                </c:pt>
                <c:pt idx="6">
                  <c:v>01/10/2021</c:v>
                </c:pt>
                <c:pt idx="7">
                  <c:v>01/11/2021</c:v>
                </c:pt>
                <c:pt idx="8">
                  <c:v>01/12/2021</c:v>
                </c:pt>
                <c:pt idx="9">
                  <c:v>01/01/2022</c:v>
                </c:pt>
                <c:pt idx="10">
                  <c:v>01/02/2022</c:v>
                </c:pt>
                <c:pt idx="11">
                  <c:v>01/03/2022</c:v>
                </c:pt>
                <c:pt idx="12">
                  <c:v>01/04/2022</c:v>
                </c:pt>
              </c:strCache>
            </c:strRef>
          </c:cat>
          <c:val>
            <c:numRef>
              <c:f>'F. Chart data'!$C$6:$C$19</c:f>
              <c:numCache>
                <c:formatCode>General</c:formatCode>
                <c:ptCount val="13"/>
                <c:pt idx="0">
                  <c:v>0.20895522388059701</c:v>
                </c:pt>
                <c:pt idx="1">
                  <c:v>0.20149253731343283</c:v>
                </c:pt>
                <c:pt idx="2">
                  <c:v>0.19852941176470587</c:v>
                </c:pt>
                <c:pt idx="3">
                  <c:v>0.19259259259259259</c:v>
                </c:pt>
                <c:pt idx="4">
                  <c:v>0.18518518518518517</c:v>
                </c:pt>
                <c:pt idx="5">
                  <c:v>0.17777777777777778</c:v>
                </c:pt>
                <c:pt idx="6">
                  <c:v>0.17647058823529413</c:v>
                </c:pt>
                <c:pt idx="7">
                  <c:v>0.17647058823529413</c:v>
                </c:pt>
                <c:pt idx="8">
                  <c:v>0.17777777777777778</c:v>
                </c:pt>
                <c:pt idx="9">
                  <c:v>0.16428571428571428</c:v>
                </c:pt>
                <c:pt idx="10">
                  <c:v>6.4285714285714279E-2</c:v>
                </c:pt>
                <c:pt idx="11">
                  <c:v>6.3380281690140844E-2</c:v>
                </c:pt>
                <c:pt idx="12">
                  <c:v>2.097902097902098E-2</c:v>
                </c:pt>
              </c:numCache>
            </c:numRef>
          </c:val>
          <c:smooth val="0"/>
          <c:extLst>
            <c:ext xmlns:c16="http://schemas.microsoft.com/office/drawing/2014/chart" uri="{C3380CC4-5D6E-409C-BE32-E72D297353CC}">
              <c16:uniqueId val="{00000000-BEAA-4140-871D-E5B0F1DB2BE3}"/>
            </c:ext>
          </c:extLst>
        </c:ser>
        <c:ser>
          <c:idx val="1"/>
          <c:order val="1"/>
          <c:tx>
            <c:strRef>
              <c:f>'F. Chart data'!$D$3:$D$5</c:f>
              <c:strCache>
                <c:ptCount val="1"/>
                <c:pt idx="0">
                  <c:v> Crawley Road Medical Centre - Target 15%</c:v>
                </c:pt>
              </c:strCache>
            </c:strRef>
          </c:tx>
          <c:spPr>
            <a:ln w="28575" cap="rnd">
              <a:solidFill>
                <a:schemeClr val="accent3"/>
              </a:solidFill>
              <a:round/>
            </a:ln>
            <a:effectLst/>
          </c:spPr>
          <c:marker>
            <c:symbol val="none"/>
          </c:marker>
          <c:cat>
            <c:strRef>
              <c:f>'F. Chart data'!$B$6:$B$19</c:f>
              <c:strCache>
                <c:ptCount val="13"/>
                <c:pt idx="0">
                  <c:v>01/04/2021</c:v>
                </c:pt>
                <c:pt idx="1">
                  <c:v>01/05/2021</c:v>
                </c:pt>
                <c:pt idx="2">
                  <c:v>01/06/2021</c:v>
                </c:pt>
                <c:pt idx="3">
                  <c:v>01/07/2021</c:v>
                </c:pt>
                <c:pt idx="4">
                  <c:v>01/08/2021</c:v>
                </c:pt>
                <c:pt idx="5">
                  <c:v>01/09/2021</c:v>
                </c:pt>
                <c:pt idx="6">
                  <c:v>01/10/2021</c:v>
                </c:pt>
                <c:pt idx="7">
                  <c:v>01/11/2021</c:v>
                </c:pt>
                <c:pt idx="8">
                  <c:v>01/12/2021</c:v>
                </c:pt>
                <c:pt idx="9">
                  <c:v>01/01/2022</c:v>
                </c:pt>
                <c:pt idx="10">
                  <c:v>01/02/2022</c:v>
                </c:pt>
                <c:pt idx="11">
                  <c:v>01/03/2022</c:v>
                </c:pt>
                <c:pt idx="12">
                  <c:v>01/04/2022</c:v>
                </c:pt>
              </c:strCache>
            </c:strRef>
          </c:cat>
          <c:val>
            <c:numRef>
              <c:f>'F. Chart data'!$D$6:$D$19</c:f>
              <c:numCache>
                <c:formatCode>General</c:formatCode>
                <c:ptCount val="13"/>
                <c:pt idx="0">
                  <c:v>0.15</c:v>
                </c:pt>
                <c:pt idx="1">
                  <c:v>0.15</c:v>
                </c:pt>
                <c:pt idx="2">
                  <c:v>0.15</c:v>
                </c:pt>
                <c:pt idx="3">
                  <c:v>0.15</c:v>
                </c:pt>
                <c:pt idx="4">
                  <c:v>0.15</c:v>
                </c:pt>
                <c:pt idx="5">
                  <c:v>0.15</c:v>
                </c:pt>
                <c:pt idx="6">
                  <c:v>0.15</c:v>
                </c:pt>
                <c:pt idx="7">
                  <c:v>0.15</c:v>
                </c:pt>
                <c:pt idx="8">
                  <c:v>0.15</c:v>
                </c:pt>
                <c:pt idx="9">
                  <c:v>0.15</c:v>
                </c:pt>
                <c:pt idx="10">
                  <c:v>0.15</c:v>
                </c:pt>
                <c:pt idx="11">
                  <c:v>0.15</c:v>
                </c:pt>
                <c:pt idx="12">
                  <c:v>0.15</c:v>
                </c:pt>
              </c:numCache>
            </c:numRef>
          </c:val>
          <c:smooth val="0"/>
          <c:extLst>
            <c:ext xmlns:c16="http://schemas.microsoft.com/office/drawing/2014/chart" uri="{C3380CC4-5D6E-409C-BE32-E72D297353CC}">
              <c16:uniqueId val="{00000001-BEAA-4140-871D-E5B0F1DB2BE3}"/>
            </c:ext>
          </c:extLst>
        </c:ser>
        <c:dLbls>
          <c:showLegendKey val="0"/>
          <c:showVal val="0"/>
          <c:showCatName val="0"/>
          <c:showSerName val="0"/>
          <c:showPercent val="0"/>
          <c:showBubbleSize val="0"/>
        </c:dLbls>
        <c:smooth val="0"/>
        <c:axId val="319125151"/>
        <c:axId val="319118495"/>
      </c:lineChart>
      <c:catAx>
        <c:axId val="31912515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18495"/>
        <c:crosses val="autoZero"/>
        <c:auto val="1"/>
        <c:lblAlgn val="ctr"/>
        <c:lblOffset val="100"/>
        <c:noMultiLvlLbl val="0"/>
      </c:catAx>
      <c:valAx>
        <c:axId val="319118495"/>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91251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pivotSource>
    <c:name>[WF LTC SNS 01-04-2022.xlsx]A. Chart Data!PivotTable7</c:name>
    <c:fmtId val="13"/>
  </c:pivotSource>
  <c:chart>
    <c:title>
      <c:tx>
        <c:rich>
          <a:bodyPr rot="0" spcFirstLastPara="1" vertOverflow="ellipsis" vert="horz" wrap="square" anchor="ctr" anchorCtr="1"/>
          <a:lstStyle/>
          <a:p>
            <a:pPr>
              <a:defRPr sz="1400" b="0" i="0" u="none" strike="noStrike" kern="1200" cap="none" spc="20" baseline="0">
                <a:solidFill>
                  <a:schemeClr val="tx1">
                    <a:lumMod val="50000"/>
                    <a:lumOff val="50000"/>
                  </a:schemeClr>
                </a:solidFill>
                <a:latin typeface="+mn-lt"/>
                <a:ea typeface="+mn-ea"/>
                <a:cs typeface="+mn-cs"/>
              </a:defRPr>
            </a:pPr>
            <a:r>
              <a:rPr lang="en-US" sz="1200"/>
              <a:t>Diabetes Review Recorded</a:t>
            </a:r>
          </a:p>
        </c:rich>
      </c:tx>
      <c:overlay val="1"/>
      <c:spPr>
        <a:noFill/>
        <a:ln>
          <a:noFill/>
        </a:ln>
        <a:effectLst/>
      </c:spPr>
      <c:txPr>
        <a:bodyPr rot="0" spcFirstLastPara="1" vertOverflow="ellipsis" vert="horz" wrap="square" anchor="ctr" anchorCtr="1"/>
        <a:lstStyle/>
        <a:p>
          <a:pPr>
            <a:defRPr sz="1400" b="0" i="0" u="none" strike="noStrike" kern="1200" cap="none" spc="20" baseline="0">
              <a:solidFill>
                <a:schemeClr val="tx1">
                  <a:lumMod val="50000"/>
                  <a:lumOff val="50000"/>
                </a:schemeClr>
              </a:solidFill>
              <a:latin typeface="+mn-lt"/>
              <a:ea typeface="+mn-ea"/>
              <a:cs typeface="+mn-cs"/>
            </a:defRPr>
          </a:pPr>
          <a:endParaRPr lang="en-US"/>
        </a:p>
      </c:txPr>
    </c:title>
    <c:autoTitleDeleted val="0"/>
    <c:pivotFmts>
      <c:pivotFmt>
        <c:idx val="0"/>
      </c:pivotFmt>
      <c:pivotFmt>
        <c:idx val="1"/>
      </c:pivotFmt>
      <c:pivotFmt>
        <c:idx val="2"/>
      </c:pivotFmt>
      <c:pivotFmt>
        <c:idx val="3"/>
        <c:spPr>
          <a:pattFill prst="pct30">
            <a:fgClr>
              <a:schemeClr val="accent4">
                <a:lumMod val="20000"/>
                <a:lumOff val="80000"/>
              </a:schemeClr>
            </a:fgClr>
            <a:bgClr>
              <a:schemeClr val="bg1"/>
            </a:bgClr>
          </a:pattFill>
          <a:ln w="9525" cap="flat" cmpd="sng" algn="ctr">
            <a:noFill/>
            <a:round/>
          </a:ln>
          <a:effectLst/>
        </c:spPr>
        <c:marker>
          <c:symbol val="none"/>
        </c:marker>
      </c:pivotFmt>
      <c:pivotFmt>
        <c:idx val="4"/>
        <c:spPr>
          <a:solidFill>
            <a:schemeClr val="accent6">
              <a:lumMod val="40000"/>
              <a:lumOff val="60000"/>
            </a:schemeClr>
          </a:solidFill>
          <a:ln w="9525" cap="flat" cmpd="sng" algn="ctr">
            <a:noFill/>
            <a:round/>
          </a:ln>
          <a:effectLst/>
        </c:spPr>
        <c:marker>
          <c:symbol val="none"/>
        </c:marker>
      </c:pivotFmt>
      <c:pivotFmt>
        <c:idx val="5"/>
        <c:spPr>
          <a:noFill/>
          <a:ln w="9525" cap="flat" cmpd="sng" algn="ctr">
            <a:noFill/>
            <a:round/>
          </a:ln>
          <a:effectLst/>
        </c:spPr>
        <c:marker>
          <c:symbol val="none"/>
        </c:marker>
      </c:pivotFmt>
      <c:pivotFmt>
        <c:idx val="6"/>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7"/>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8"/>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9"/>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10"/>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11"/>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12"/>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13"/>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14"/>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15"/>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16"/>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17"/>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18"/>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19"/>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20"/>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21"/>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22"/>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23"/>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24"/>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25"/>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26"/>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27"/>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28"/>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29"/>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30"/>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31"/>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32"/>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33"/>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34"/>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35"/>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36"/>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37"/>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38"/>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39"/>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40"/>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41"/>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42"/>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43"/>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44"/>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45"/>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46"/>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47"/>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48"/>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49"/>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50"/>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51"/>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52"/>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53"/>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54"/>
        <c:spPr>
          <a:pattFill prst="pct30">
            <a:fgClr>
              <a:schemeClr val="accent4">
                <a:lumMod val="20000"/>
                <a:lumOff val="80000"/>
              </a:schemeClr>
            </a:fgClr>
            <a:bgClr>
              <a:schemeClr val="bg1"/>
            </a:bgClr>
          </a:pattFill>
          <a:ln w="9525" cap="flat" cmpd="sng" algn="ctr">
            <a:noFill/>
            <a:round/>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55"/>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56"/>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57"/>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58"/>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59"/>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60"/>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61"/>
      </c:pivotFmt>
      <c:pivotFmt>
        <c:idx val="62"/>
      </c:pivotFmt>
      <c:pivotFmt>
        <c:idx val="63"/>
      </c:pivotFmt>
      <c:pivotFmt>
        <c:idx val="64"/>
      </c:pivotFmt>
      <c:pivotFmt>
        <c:idx val="65"/>
      </c:pivotFmt>
      <c:pivotFmt>
        <c:idx val="66"/>
      </c:pivotFmt>
      <c:pivotFmt>
        <c:idx val="67"/>
      </c:pivotFmt>
      <c:pivotFmt>
        <c:idx val="68"/>
      </c:pivotFmt>
      <c:pivotFmt>
        <c:idx val="69"/>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70"/>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71"/>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72"/>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73"/>
      </c:pivotFmt>
      <c:pivotFmt>
        <c:idx val="74"/>
      </c:pivotFmt>
      <c:pivotFmt>
        <c:idx val="75"/>
      </c:pivotFmt>
      <c:pivotFmt>
        <c:idx val="76"/>
      </c:pivotFmt>
      <c:pivotFmt>
        <c:idx val="77"/>
      </c:pivotFmt>
      <c:pivotFmt>
        <c:idx val="78"/>
      </c:pivotFmt>
      <c:pivotFmt>
        <c:idx val="79"/>
      </c:pivotFmt>
      <c:pivotFmt>
        <c:idx val="80"/>
      </c:pivotFmt>
      <c:pivotFmt>
        <c:idx val="81"/>
      </c:pivotFmt>
      <c:pivotFmt>
        <c:idx val="82"/>
      </c:pivotFmt>
      <c:pivotFmt>
        <c:idx val="83"/>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84"/>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85"/>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86"/>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87"/>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88"/>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89"/>
        <c:spPr>
          <a:pattFill prst="pct30">
            <a:fgClr>
              <a:schemeClr val="accent4">
                <a:lumMod val="20000"/>
                <a:lumOff val="80000"/>
              </a:schemeClr>
            </a:fgClr>
            <a:bgClr>
              <a:schemeClr val="bg1"/>
            </a:bgClr>
          </a:pattFill>
          <a:ln w="9525" cap="flat" cmpd="sng" algn="ctr">
            <a:noFill/>
            <a:round/>
          </a:ln>
          <a:effectLst/>
        </c:spPr>
      </c:pivotFmt>
      <c:pivotFmt>
        <c:idx val="90"/>
        <c:spPr>
          <a:pattFill prst="pct30">
            <a:fgClr>
              <a:schemeClr val="accent4">
                <a:lumMod val="20000"/>
                <a:lumOff val="80000"/>
              </a:schemeClr>
            </a:fgClr>
            <a:bgClr>
              <a:schemeClr val="bg1"/>
            </a:bgClr>
          </a:pattFill>
          <a:ln w="9525" cap="flat" cmpd="sng" algn="ctr">
            <a:noFill/>
            <a:round/>
          </a:ln>
          <a:effectLst/>
        </c:spPr>
      </c:pivotFmt>
      <c:pivotFmt>
        <c:idx val="91"/>
        <c:spPr>
          <a:pattFill prst="pct30">
            <a:fgClr>
              <a:schemeClr val="accent4">
                <a:lumMod val="20000"/>
                <a:lumOff val="80000"/>
              </a:schemeClr>
            </a:fgClr>
            <a:bgClr>
              <a:schemeClr val="bg1"/>
            </a:bgClr>
          </a:pattFill>
          <a:ln w="9525" cap="flat" cmpd="sng" algn="ctr">
            <a:noFill/>
            <a:round/>
          </a:ln>
          <a:effectLst/>
        </c:spPr>
      </c:pivotFmt>
      <c:pivotFmt>
        <c:idx val="92"/>
        <c:spPr>
          <a:pattFill prst="pct30">
            <a:fgClr>
              <a:schemeClr val="accent4">
                <a:lumMod val="20000"/>
                <a:lumOff val="80000"/>
              </a:schemeClr>
            </a:fgClr>
            <a:bgClr>
              <a:schemeClr val="bg1"/>
            </a:bgClr>
          </a:pattFill>
          <a:ln w="9525" cap="flat" cmpd="sng" algn="ctr">
            <a:noFill/>
            <a:round/>
          </a:ln>
          <a:effectLst/>
        </c:spPr>
      </c:pivotFmt>
      <c:pivotFmt>
        <c:idx val="93"/>
        <c:spPr>
          <a:pattFill prst="pct30">
            <a:fgClr>
              <a:schemeClr val="accent4">
                <a:lumMod val="20000"/>
                <a:lumOff val="80000"/>
              </a:schemeClr>
            </a:fgClr>
            <a:bgClr>
              <a:schemeClr val="bg1"/>
            </a:bgClr>
          </a:pattFill>
          <a:ln w="9525" cap="flat" cmpd="sng" algn="ctr">
            <a:noFill/>
            <a:round/>
          </a:ln>
          <a:effectLst/>
        </c:spPr>
      </c:pivotFmt>
      <c:pivotFmt>
        <c:idx val="94"/>
        <c:spPr>
          <a:pattFill prst="pct30">
            <a:fgClr>
              <a:schemeClr val="accent4">
                <a:lumMod val="20000"/>
                <a:lumOff val="80000"/>
              </a:schemeClr>
            </a:fgClr>
            <a:bgClr>
              <a:schemeClr val="bg1"/>
            </a:bgClr>
          </a:pattFill>
          <a:ln w="9525" cap="flat" cmpd="sng" algn="ctr">
            <a:noFill/>
            <a:round/>
          </a:ln>
          <a:effectLst/>
        </c:spPr>
      </c:pivotFmt>
      <c:pivotFmt>
        <c:idx val="95"/>
        <c:spPr>
          <a:pattFill prst="pct30">
            <a:fgClr>
              <a:schemeClr val="accent4">
                <a:lumMod val="20000"/>
                <a:lumOff val="80000"/>
              </a:schemeClr>
            </a:fgClr>
            <a:bgClr>
              <a:schemeClr val="bg1"/>
            </a:bgClr>
          </a:pattFill>
          <a:ln w="9525" cap="flat" cmpd="sng" algn="ctr">
            <a:noFill/>
            <a:round/>
          </a:ln>
          <a:effectLst/>
        </c:spPr>
      </c:pivotFmt>
      <c:pivotFmt>
        <c:idx val="96"/>
        <c:spPr>
          <a:pattFill prst="pct30">
            <a:fgClr>
              <a:schemeClr val="accent4">
                <a:lumMod val="20000"/>
                <a:lumOff val="80000"/>
              </a:schemeClr>
            </a:fgClr>
            <a:bgClr>
              <a:schemeClr val="bg1"/>
            </a:bgClr>
          </a:pattFill>
          <a:ln w="9525" cap="flat" cmpd="sng" algn="ctr">
            <a:noFill/>
            <a:round/>
          </a:ln>
          <a:effectLst/>
        </c:spPr>
      </c:pivotFmt>
      <c:pivotFmt>
        <c:idx val="97"/>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98"/>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99"/>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100"/>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101"/>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102"/>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103"/>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104"/>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105"/>
      </c:pivotFmt>
      <c:pivotFmt>
        <c:idx val="106"/>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107"/>
      </c:pivotFmt>
      <c:pivotFmt>
        <c:idx val="108"/>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109"/>
      </c:pivotFmt>
      <c:pivotFmt>
        <c:idx val="110"/>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r>
                  <a:rPr lang="en-US"/>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xForSave val="1"/>
              <c15:showDataLabelsRange val="1"/>
            </c:ext>
          </c:extLst>
        </c:dLbl>
      </c:pivotFmt>
      <c:pivotFmt>
        <c:idx val="111"/>
        <c:spPr>
          <a:pattFill prst="ltVert">
            <a:fgClr>
              <a:srgbClr val="FFFF00"/>
            </a:fgClr>
            <a:bgClr>
              <a:srgbClr val="00B050"/>
            </a:bgClr>
          </a:pattFill>
          <a:ln w="9525" cap="flat" cmpd="sng" algn="ctr">
            <a:noFill/>
            <a:round/>
          </a:ln>
          <a:effectLst/>
        </c:spPr>
        <c:marker>
          <c:symbol val="none"/>
        </c:marker>
      </c:pivotFmt>
      <c:pivotFmt>
        <c:idx val="112"/>
        <c:spPr>
          <a:noFill/>
          <a:ln w="9525" cap="flat" cmpd="sng" algn="ctr">
            <a:noFill/>
            <a:round/>
          </a:ln>
          <a:effectLst/>
        </c:spPr>
        <c:marker>
          <c:symbol val="none"/>
        </c:marker>
      </c:pivotFmt>
      <c:pivotFmt>
        <c:idx val="113"/>
        <c:spPr>
          <a:noFill/>
          <a:ln w="9525" cap="flat" cmpd="sng" algn="ctr">
            <a:noFill/>
            <a:round/>
          </a:ln>
          <a:effectLst/>
        </c:spPr>
        <c:marker>
          <c:symbol val="none"/>
        </c:marker>
      </c:pivotFmt>
      <c:pivotFmt>
        <c:idx val="114"/>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pivotFmt>
      <c:pivotFmt>
        <c:idx val="115"/>
        <c:spPr>
          <a:pattFill prst="pct25">
            <a:fgClr>
              <a:schemeClr val="accent4">
                <a:lumMod val="20000"/>
                <a:lumOff val="80000"/>
              </a:schemeClr>
            </a:fgClr>
            <a:bgClr>
              <a:schemeClr val="bg1"/>
            </a:bgClr>
          </a:pattFill>
          <a:ln w="9525" cap="flat" cmpd="sng" algn="ctr">
            <a:noFill/>
            <a:round/>
          </a:ln>
          <a:effectLst/>
        </c:spPr>
        <c:marker>
          <c:symbol val="none"/>
        </c:marker>
      </c:pivotFmt>
      <c:pivotFmt>
        <c:idx val="116"/>
        <c:spPr>
          <a:solidFill>
            <a:schemeClr val="accent6">
              <a:lumMod val="40000"/>
              <a:lumOff val="60000"/>
            </a:schemeClr>
          </a:solidFill>
          <a:ln w="9525" cap="flat" cmpd="sng" algn="ctr">
            <a:noFill/>
            <a:round/>
          </a:ln>
          <a:effectLst/>
        </c:spPr>
        <c:marker>
          <c:symbol val="none"/>
        </c:marker>
      </c:pivotFmt>
      <c:pivotFmt>
        <c:idx val="117"/>
        <c:spPr>
          <a:pattFill prst="ltVert">
            <a:fgClr>
              <a:srgbClr val="FFFF00"/>
            </a:fgClr>
            <a:bgClr>
              <a:srgbClr val="00B050"/>
            </a:bgClr>
          </a:pattFill>
          <a:ln w="9525" cap="flat" cmpd="sng" algn="ctr">
            <a:solidFill>
              <a:schemeClr val="accent1">
                <a:shade val="95000"/>
              </a:schemeClr>
            </a:solidFill>
            <a:round/>
          </a:ln>
          <a:effectLst/>
        </c:spPr>
        <c:marker>
          <c:symbol val="none"/>
        </c:marker>
      </c:pivotFmt>
      <c:pivotFmt>
        <c:idx val="118"/>
      </c:pivotFmt>
      <c:pivotFmt>
        <c:idx val="119"/>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pivotFmt>
      <c:pivotFmt>
        <c:idx val="120"/>
      </c:pivotFmt>
      <c:pivotFmt>
        <c:idx val="121"/>
        <c:spPr>
          <a:noFill/>
          <a:ln w="9525" cap="flat" cmpd="sng" algn="ctr">
            <a:no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2"/>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pivotFmt>
      <c:pivotFmt>
        <c:idx val="123"/>
        <c:spPr>
          <a:noFill/>
          <a:ln w="9525" cap="flat" cmpd="sng" algn="ctr">
            <a:noFill/>
            <a:round/>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24"/>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5"/>
        <c:spPr>
          <a:pattFill prst="pct25">
            <a:fgClr>
              <a:schemeClr val="accent4">
                <a:lumMod val="20000"/>
                <a:lumOff val="80000"/>
              </a:schemeClr>
            </a:fgClr>
            <a:bgClr>
              <a:schemeClr val="bg1"/>
            </a:bgClr>
          </a:pattFill>
          <a:ln w="9525" cap="flat" cmpd="sng" algn="ctr">
            <a:no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6"/>
        <c:spPr>
          <a:solidFill>
            <a:schemeClr val="accent6">
              <a:lumMod val="40000"/>
              <a:lumOff val="60000"/>
            </a:schemeClr>
          </a:solidFill>
          <a:ln w="9525" cap="flat" cmpd="sng" algn="ctr">
            <a:no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7"/>
        <c:spPr>
          <a:pattFill prst="pct25">
            <a:fgClr>
              <a:schemeClr val="accent4">
                <a:lumMod val="20000"/>
                <a:lumOff val="80000"/>
              </a:schemeClr>
            </a:fgClr>
            <a:bgClr>
              <a:schemeClr val="bg1"/>
            </a:bgClr>
          </a:pattFill>
          <a:ln w="9525" cap="flat" cmpd="sng" algn="ctr">
            <a:no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8"/>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9"/>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
        <c:idx val="130"/>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1"/>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2857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32"/>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3"/>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4"/>
        <c:spPr>
          <a:solidFill>
            <a:srgbClr val="70AD47">
              <a:lumMod val="40000"/>
              <a:lumOff val="60000"/>
            </a:srgbClr>
          </a:soli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5"/>
        <c:spPr>
          <a:solidFill>
            <a:srgbClr val="70AD47">
              <a:lumMod val="40000"/>
              <a:lumOff val="60000"/>
            </a:srgbClr>
          </a:solidFill>
          <a:ln w="9525" cap="flat" cmpd="sng" algn="ctr">
            <a:solidFill>
              <a:srgbClr val="70AD47">
                <a:lumMod val="20000"/>
                <a:lumOff val="80000"/>
              </a:srgbClr>
            </a:solidFill>
            <a:round/>
          </a:ln>
          <a:effectLst/>
        </c:spPr>
      </c:pivotFmt>
      <c:pivotFmt>
        <c:idx val="136"/>
        <c:spPr>
          <a:solidFill>
            <a:srgbClr val="FFC000">
              <a:lumMod val="40000"/>
              <a:lumOff val="60000"/>
            </a:srgbClr>
          </a:solidFill>
          <a:ln w="28575" cap="flat" cmpd="sng" algn="ctr">
            <a:solidFill>
              <a:srgbClr val="FFC000">
                <a:lumMod val="60000"/>
                <a:lumOff val="40000"/>
              </a:srgbClr>
            </a:solidFill>
            <a:round/>
          </a:ln>
          <a:effectLst/>
        </c:spPr>
        <c:dLbl>
          <c:idx val="0"/>
          <c:layout>
            <c:manualLayout>
              <c:x val="-0.29208472686733561"/>
              <c:y val="-7.4185609011049153E-17"/>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fld id="{7836B825-9F9F-4128-8000-3B639E994943}" type="CELLREF">
                  <a:rPr lang="en-US"/>
                  <a:pPr>
                    <a:defRPr sz="900" b="0" i="0" u="none" strike="noStrike" kern="1200" baseline="0">
                      <a:solidFill>
                        <a:schemeClr val="tx1">
                          <a:lumMod val="50000"/>
                          <a:lumOff val="50000"/>
                        </a:schemeClr>
                      </a:solidFill>
                      <a:latin typeface="+mn-lt"/>
                      <a:ea typeface="+mn-ea"/>
                      <a:cs typeface="+mn-cs"/>
                    </a:defRPr>
                  </a:pPr>
                  <a:t>[]</a:t>
                </a:fld>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dlblFieldTable/>
              <c15:showDataLabelsRange val="0"/>
            </c:ext>
          </c:extLst>
        </c:dLbl>
      </c:pivotFmt>
      <c:pivotFmt>
        <c:idx val="137"/>
        <c:spPr>
          <a:pattFill prst="ltUpDiag">
            <a:fgClr>
              <a:sysClr val="window" lastClr="FFFFFF">
                <a:lumMod val="65000"/>
              </a:sysClr>
            </a:fgClr>
            <a:bgClr>
              <a:sysClr val="window" lastClr="FFFFFF"/>
            </a:bgClr>
          </a:pattFill>
          <a:ln w="9525" cap="flat" cmpd="sng" algn="ctr">
            <a:noFill/>
            <a:round/>
          </a:ln>
          <a:effectLst/>
        </c:spPr>
      </c:pivotFmt>
      <c:pivotFmt>
        <c:idx val="138"/>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9"/>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0"/>
        <c:spPr>
          <a:pattFill prst="ltUpDiag">
            <a:fgClr>
              <a:sysClr val="window" lastClr="FFFFFF">
                <a:lumMod val="65000"/>
              </a:sysClr>
            </a:fgClr>
            <a:bgClr>
              <a:sysClr val="window" lastClr="FFFFFF"/>
            </a:bgClr>
          </a:pattFill>
          <a:ln w="9525" cap="flat" cmpd="sng" algn="ctr">
            <a:noFill/>
            <a:round/>
          </a:ln>
          <a:effectLst/>
        </c:spPr>
      </c:pivotFmt>
      <c:pivotFmt>
        <c:idx val="141"/>
        <c:spPr>
          <a:solidFill>
            <a:srgbClr val="70AD47">
              <a:lumMod val="40000"/>
              <a:lumOff val="60000"/>
            </a:srgbClr>
          </a:soli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2"/>
        <c:spPr>
          <a:solidFill>
            <a:srgbClr val="70AD47">
              <a:lumMod val="40000"/>
              <a:lumOff val="60000"/>
            </a:srgbClr>
          </a:solidFill>
          <a:ln w="9525" cap="flat" cmpd="sng" algn="ctr">
            <a:solidFill>
              <a:srgbClr val="70AD47">
                <a:lumMod val="20000"/>
                <a:lumOff val="80000"/>
              </a:srgbClr>
            </a:solidFill>
            <a:round/>
          </a:ln>
          <a:effectLst/>
        </c:spPr>
      </c:pivotFmt>
      <c:pivotFmt>
        <c:idx val="143"/>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2857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44"/>
        <c:spPr>
          <a:solidFill>
            <a:srgbClr val="FFC000">
              <a:lumMod val="40000"/>
              <a:lumOff val="60000"/>
            </a:srgbClr>
          </a:solidFill>
          <a:ln w="28575" cap="flat" cmpd="sng" algn="ctr">
            <a:solidFill>
              <a:srgbClr val="FFC000">
                <a:lumMod val="60000"/>
                <a:lumOff val="40000"/>
              </a:srgbClr>
            </a:solidFill>
            <a:round/>
          </a:ln>
          <a:effectLst/>
        </c:spPr>
        <c:dLbl>
          <c:idx val="0"/>
          <c:layout>
            <c:manualLayout>
              <c:x val="-0.29208472686733561"/>
              <c:y val="-7.4185609011049153E-17"/>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fld id="{7836B825-9F9F-4128-8000-3B639E994943}" type="CELLREF">
                  <a:rPr lang="en-US"/>
                  <a:pPr>
                    <a:defRPr sz="900" b="0" i="0" u="none" strike="noStrike" kern="1200" baseline="0">
                      <a:solidFill>
                        <a:schemeClr val="tx1">
                          <a:lumMod val="50000"/>
                          <a:lumOff val="50000"/>
                        </a:schemeClr>
                      </a:solidFill>
                      <a:latin typeface="+mn-lt"/>
                      <a:ea typeface="+mn-ea"/>
                      <a:cs typeface="+mn-cs"/>
                    </a:defRPr>
                  </a:pPr>
                  <a:t>[]</a:t>
                </a:fld>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dlblFieldTable/>
              <c15:showDataLabelsRange val="0"/>
            </c:ext>
          </c:extLst>
        </c:dLbl>
      </c:pivotFmt>
      <c:pivotFmt>
        <c:idx val="145"/>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6"/>
        <c:spPr>
          <a:pattFill prst="ltUpDiag">
            <a:fgClr>
              <a:sysClr val="window" lastClr="FFFFFF">
                <a:lumMod val="75000"/>
              </a:sysClr>
            </a:fgClr>
            <a:bgClr>
              <a:sysClr val="window" lastClr="FFFFFF"/>
            </a:bgClr>
          </a:pattFill>
          <a:ln w="9525" cap="flat" cmpd="sng" algn="ctr">
            <a:no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7"/>
        <c:spPr>
          <a:pattFill prst="ltUpDiag">
            <a:fgClr>
              <a:sysClr val="window" lastClr="FFFFFF">
                <a:lumMod val="75000"/>
              </a:sysClr>
            </a:fgClr>
            <a:bgClr>
              <a:sysClr val="window" lastClr="FFFFFF"/>
            </a:bgClr>
          </a:pattFill>
          <a:ln w="9525" cap="flat" cmpd="sng" algn="ctr">
            <a:noFill/>
            <a:round/>
          </a:ln>
          <a:effectLst/>
        </c:spPr>
      </c:pivotFmt>
      <c:pivotFmt>
        <c:idx val="148"/>
        <c:spPr>
          <a:solidFill>
            <a:srgbClr val="70AD47">
              <a:lumMod val="40000"/>
              <a:lumOff val="60000"/>
            </a:srgbClr>
          </a:solidFill>
          <a:ln w="9525" cap="flat" cmpd="sng" algn="ctr">
            <a:solidFill>
              <a:sysClr val="window" lastClr="FFFFFF"/>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9"/>
        <c:spPr>
          <a:solidFill>
            <a:srgbClr val="70AD47">
              <a:lumMod val="40000"/>
              <a:lumOff val="60000"/>
            </a:srgbClr>
          </a:solidFill>
          <a:ln w="9525" cap="flat" cmpd="sng" algn="ctr">
            <a:solidFill>
              <a:sysClr val="window" lastClr="FFFFFF"/>
            </a:solidFill>
            <a:round/>
          </a:ln>
          <a:effectLst/>
        </c:spPr>
      </c:pivotFmt>
      <c:pivotFmt>
        <c:idx val="150"/>
        <c:spPr>
          <a:solidFill>
            <a:srgbClr val="FFC000">
              <a:lumMod val="40000"/>
              <a:lumOff val="60000"/>
            </a:srgbClr>
          </a:solidFill>
          <a:ln w="34925" cap="flat" cmpd="sng" algn="ctr">
            <a:solidFill>
              <a:srgbClr val="FFC000">
                <a:lumMod val="60000"/>
                <a:lumOff val="40000"/>
              </a:srgb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51"/>
        <c:spPr>
          <a:solidFill>
            <a:srgbClr val="FFC000">
              <a:lumMod val="40000"/>
              <a:lumOff val="60000"/>
            </a:srgbClr>
          </a:solidFill>
          <a:ln w="34925" cap="flat" cmpd="sng" algn="ctr">
            <a:solidFill>
              <a:srgbClr val="FFC000">
                <a:lumMod val="60000"/>
                <a:lumOff val="40000"/>
              </a:srgbClr>
            </a:solidFill>
            <a:round/>
          </a:ln>
          <a:effectLst/>
        </c:spPr>
        <c:dLbl>
          <c:idx val="0"/>
          <c:layout>
            <c:manualLayout>
              <c:x val="-0.19074278525230468"/>
              <c:y val="-5.2286971804653382E-17"/>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fld id="{7836B825-9F9F-4128-8000-3B639E994943}" type="CELLREF">
                  <a:rPr lang="en-US"/>
                  <a:pPr>
                    <a:defRPr sz="900" b="0" i="0" u="none" strike="noStrike" kern="1200" baseline="0">
                      <a:solidFill>
                        <a:schemeClr val="tx1">
                          <a:lumMod val="50000"/>
                          <a:lumOff val="50000"/>
                        </a:schemeClr>
                      </a:solidFill>
                      <a:latin typeface="+mn-lt"/>
                      <a:ea typeface="+mn-ea"/>
                      <a:cs typeface="+mn-cs"/>
                    </a:defRPr>
                  </a:pPr>
                  <a:t>[]</a:t>
                </a:fld>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dlblFieldTable/>
              <c15:showDataLabelsRange val="0"/>
            </c:ext>
          </c:extLst>
        </c:dLbl>
      </c:pivotFmt>
      <c:pivotFmt>
        <c:idx val="152"/>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3"/>
        <c:spPr>
          <a:pattFill prst="ltUpDiag">
            <a:fgClr>
              <a:sysClr val="window" lastClr="FFFFFF">
                <a:lumMod val="75000"/>
              </a:sysClr>
            </a:fgClr>
            <a:bgClr>
              <a:sysClr val="window" lastClr="FFFFFF"/>
            </a:bgClr>
          </a:pattFill>
          <a:ln w="9525" cap="flat" cmpd="sng" algn="ctr">
            <a:no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4"/>
        <c:spPr>
          <a:pattFill prst="ltUpDiag">
            <a:fgClr>
              <a:sysClr val="window" lastClr="FFFFFF">
                <a:lumMod val="75000"/>
              </a:sysClr>
            </a:fgClr>
            <a:bgClr>
              <a:sysClr val="window" lastClr="FFFFFF"/>
            </a:bgClr>
          </a:pattFill>
          <a:ln w="9525" cap="flat" cmpd="sng" algn="ctr">
            <a:noFill/>
            <a:round/>
          </a:ln>
          <a:effectLst/>
        </c:spPr>
      </c:pivotFmt>
      <c:pivotFmt>
        <c:idx val="155"/>
        <c:spPr>
          <a:solidFill>
            <a:srgbClr val="70AD47">
              <a:lumMod val="40000"/>
              <a:lumOff val="60000"/>
            </a:srgbClr>
          </a:solidFill>
          <a:ln w="9525" cap="flat" cmpd="sng" algn="ctr">
            <a:solidFill>
              <a:sysClr val="window" lastClr="FFFFFF"/>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6"/>
        <c:spPr>
          <a:solidFill>
            <a:srgbClr val="70AD47">
              <a:lumMod val="40000"/>
              <a:lumOff val="60000"/>
            </a:srgbClr>
          </a:solidFill>
          <a:ln w="9525" cap="flat" cmpd="sng" algn="ctr">
            <a:solidFill>
              <a:sysClr val="window" lastClr="FFFFFF"/>
            </a:solidFill>
            <a:round/>
          </a:ln>
          <a:effectLst/>
        </c:spPr>
      </c:pivotFmt>
      <c:pivotFmt>
        <c:idx val="157"/>
        <c:spPr>
          <a:solidFill>
            <a:srgbClr val="FFC000">
              <a:lumMod val="40000"/>
              <a:lumOff val="60000"/>
            </a:srgbClr>
          </a:solidFill>
          <a:ln w="34925" cap="flat" cmpd="sng" algn="ctr">
            <a:solidFill>
              <a:srgbClr val="FFC000">
                <a:lumMod val="60000"/>
                <a:lumOff val="40000"/>
              </a:srgb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58"/>
        <c:spPr>
          <a:solidFill>
            <a:srgbClr val="FFC000">
              <a:lumMod val="40000"/>
              <a:lumOff val="60000"/>
            </a:srgbClr>
          </a:solidFill>
          <a:ln w="34925" cap="flat" cmpd="sng" algn="ctr">
            <a:solidFill>
              <a:srgbClr val="FFC000">
                <a:lumMod val="60000"/>
                <a:lumOff val="40000"/>
              </a:srgbClr>
            </a:solidFill>
            <a:round/>
          </a:ln>
          <a:effectLst/>
        </c:spPr>
        <c:dLbl>
          <c:idx val="0"/>
          <c:layout>
            <c:manualLayout>
              <c:x val="-0.19074278525230468"/>
              <c:y val="-5.2286971804653382E-17"/>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fld id="{7836B825-9F9F-4128-8000-3B639E994943}" type="CELLREF">
                  <a:rPr lang="en-US"/>
                  <a:pPr>
                    <a:defRPr sz="900" b="0" i="0" u="none" strike="noStrike" kern="1200" baseline="0">
                      <a:solidFill>
                        <a:schemeClr val="tx1">
                          <a:lumMod val="50000"/>
                          <a:lumOff val="50000"/>
                        </a:schemeClr>
                      </a:solidFill>
                      <a:latin typeface="+mn-lt"/>
                      <a:ea typeface="+mn-ea"/>
                      <a:cs typeface="+mn-cs"/>
                    </a:defRPr>
                  </a:pPr>
                  <a:t>[]</a:t>
                </a:fld>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dlblFieldTable/>
              <c15:showDataLabelsRange val="0"/>
            </c:ext>
          </c:extLst>
        </c:dLbl>
      </c:pivotFmt>
      <c:pivotFmt>
        <c:idx val="159"/>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0"/>
        <c:spPr>
          <a:pattFill prst="ltUpDiag">
            <a:fgClr>
              <a:sysClr val="window" lastClr="FFFFFF">
                <a:lumMod val="75000"/>
              </a:sysClr>
            </a:fgClr>
            <a:bgClr>
              <a:sysClr val="window" lastClr="FFFFFF"/>
            </a:bgClr>
          </a:pattFill>
          <a:ln w="9525" cap="flat" cmpd="sng" algn="ctr">
            <a:no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1"/>
        <c:spPr>
          <a:pattFill prst="ltUpDiag">
            <a:fgClr>
              <a:sysClr val="window" lastClr="FFFFFF">
                <a:lumMod val="75000"/>
              </a:sysClr>
            </a:fgClr>
            <a:bgClr>
              <a:sysClr val="window" lastClr="FFFFFF"/>
            </a:bgClr>
          </a:pattFill>
          <a:ln w="9525" cap="flat" cmpd="sng" algn="ctr">
            <a:noFill/>
            <a:round/>
          </a:ln>
          <a:effectLst/>
        </c:spPr>
      </c:pivotFmt>
      <c:pivotFmt>
        <c:idx val="162"/>
        <c:spPr>
          <a:solidFill>
            <a:srgbClr val="70AD47">
              <a:lumMod val="40000"/>
              <a:lumOff val="60000"/>
            </a:srgbClr>
          </a:solidFill>
          <a:ln w="9525" cap="flat" cmpd="sng" algn="ctr">
            <a:solidFill>
              <a:sysClr val="window" lastClr="FFFFFF"/>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3"/>
        <c:spPr>
          <a:solidFill>
            <a:srgbClr val="70AD47">
              <a:lumMod val="40000"/>
              <a:lumOff val="60000"/>
            </a:srgbClr>
          </a:solidFill>
          <a:ln w="9525" cap="flat" cmpd="sng" algn="ctr">
            <a:solidFill>
              <a:sysClr val="window" lastClr="FFFFFF"/>
            </a:solidFill>
            <a:round/>
          </a:ln>
          <a:effectLst/>
        </c:spPr>
      </c:pivotFmt>
      <c:pivotFmt>
        <c:idx val="164"/>
        <c:spPr>
          <a:solidFill>
            <a:srgbClr val="FFC000">
              <a:lumMod val="40000"/>
              <a:lumOff val="60000"/>
            </a:srgbClr>
          </a:solidFill>
          <a:ln w="34925" cap="flat" cmpd="sng" algn="ctr">
            <a:solidFill>
              <a:srgbClr val="FFC000">
                <a:lumMod val="60000"/>
                <a:lumOff val="40000"/>
              </a:srgb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65"/>
        <c:spPr>
          <a:solidFill>
            <a:srgbClr val="FFC000">
              <a:lumMod val="40000"/>
              <a:lumOff val="60000"/>
            </a:srgbClr>
          </a:solidFill>
          <a:ln w="34925" cap="flat" cmpd="sng" algn="ctr">
            <a:solidFill>
              <a:srgbClr val="FFC000">
                <a:lumMod val="60000"/>
                <a:lumOff val="40000"/>
              </a:srgbClr>
            </a:solidFill>
            <a:round/>
          </a:ln>
          <a:effectLst/>
        </c:spPr>
        <c:dLbl>
          <c:idx val="0"/>
          <c:layout>
            <c:manualLayout>
              <c:x val="-0.19074278525230468"/>
              <c:y val="-5.2286971804653382E-17"/>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fld id="{7836B825-9F9F-4128-8000-3B639E994943}" type="CELLREF">
                  <a:rPr lang="en-US"/>
                  <a:pPr>
                    <a:defRPr sz="900" b="0" i="0" u="none" strike="noStrike" kern="1200" baseline="0">
                      <a:solidFill>
                        <a:schemeClr val="tx1">
                          <a:lumMod val="50000"/>
                          <a:lumOff val="50000"/>
                        </a:schemeClr>
                      </a:solidFill>
                      <a:latin typeface="+mn-lt"/>
                      <a:ea typeface="+mn-ea"/>
                      <a:cs typeface="+mn-cs"/>
                    </a:defRPr>
                  </a:pPr>
                  <a:t>[]</a:t>
                </a:fld>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dlblFieldTable/>
              <c15:showDataLabelsRange val="0"/>
            </c:ext>
          </c:extLst>
        </c:dLbl>
      </c:pivotFmt>
      <c:pivotFmt>
        <c:idx val="166"/>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7"/>
        <c:spPr>
          <a:pattFill prst="ltUpDiag">
            <a:fgClr>
              <a:sysClr val="window" lastClr="FFFFFF">
                <a:lumMod val="75000"/>
              </a:sysClr>
            </a:fgClr>
            <a:bgClr>
              <a:sysClr val="window" lastClr="FFFFFF"/>
            </a:bgClr>
          </a:pattFill>
          <a:ln w="9525" cap="flat" cmpd="sng" algn="ctr">
            <a:no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8"/>
        <c:spPr>
          <a:pattFill prst="ltUpDiag">
            <a:fgClr>
              <a:sysClr val="window" lastClr="FFFFFF">
                <a:lumMod val="75000"/>
              </a:sysClr>
            </a:fgClr>
            <a:bgClr>
              <a:sysClr val="window" lastClr="FFFFFF"/>
            </a:bgClr>
          </a:pattFill>
          <a:ln w="9525" cap="flat" cmpd="sng" algn="ctr">
            <a:noFill/>
            <a:round/>
          </a:ln>
          <a:effectLst/>
        </c:spPr>
      </c:pivotFmt>
      <c:pivotFmt>
        <c:idx val="169"/>
        <c:spPr>
          <a:solidFill>
            <a:srgbClr val="70AD47">
              <a:lumMod val="40000"/>
              <a:lumOff val="60000"/>
            </a:srgbClr>
          </a:solidFill>
          <a:ln w="9525" cap="flat" cmpd="sng" algn="ctr">
            <a:solidFill>
              <a:sysClr val="window" lastClr="FFFFFF"/>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0"/>
        <c:spPr>
          <a:solidFill>
            <a:srgbClr val="70AD47">
              <a:lumMod val="40000"/>
              <a:lumOff val="60000"/>
            </a:srgbClr>
          </a:solidFill>
          <a:ln w="9525" cap="flat" cmpd="sng" algn="ctr">
            <a:solidFill>
              <a:sysClr val="window" lastClr="FFFFFF"/>
            </a:solidFill>
            <a:round/>
          </a:ln>
          <a:effectLst/>
        </c:spPr>
      </c:pivotFmt>
      <c:pivotFmt>
        <c:idx val="171"/>
        <c:spPr>
          <a:solidFill>
            <a:srgbClr val="FFC000">
              <a:lumMod val="40000"/>
              <a:lumOff val="60000"/>
            </a:srgbClr>
          </a:solidFill>
          <a:ln w="34925" cap="flat" cmpd="sng" algn="ctr">
            <a:solidFill>
              <a:srgbClr val="FFC000">
                <a:lumMod val="60000"/>
                <a:lumOff val="40000"/>
              </a:srgb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72"/>
        <c:spPr>
          <a:solidFill>
            <a:srgbClr val="FFC000">
              <a:lumMod val="40000"/>
              <a:lumOff val="60000"/>
            </a:srgbClr>
          </a:solidFill>
          <a:ln w="34925" cap="flat" cmpd="sng" algn="ctr">
            <a:solidFill>
              <a:srgbClr val="FFC000">
                <a:lumMod val="60000"/>
                <a:lumOff val="40000"/>
              </a:srgbClr>
            </a:solidFill>
            <a:round/>
          </a:ln>
          <a:effectLst/>
        </c:spPr>
        <c:dLbl>
          <c:idx val="0"/>
          <c:layout>
            <c:manualLayout>
              <c:x val="-0.19074278525230468"/>
              <c:y val="-5.2286971804653382E-17"/>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fld id="{7836B825-9F9F-4128-8000-3B639E994943}" type="CELLREF">
                  <a:rPr lang="en-US"/>
                  <a:pPr>
                    <a:defRPr sz="900" b="0" i="0" u="none" strike="noStrike" kern="1200" baseline="0">
                      <a:solidFill>
                        <a:schemeClr val="tx1">
                          <a:lumMod val="50000"/>
                          <a:lumOff val="50000"/>
                        </a:schemeClr>
                      </a:solidFill>
                      <a:latin typeface="+mn-lt"/>
                      <a:ea typeface="+mn-ea"/>
                      <a:cs typeface="+mn-cs"/>
                    </a:defRPr>
                  </a:pPr>
                  <a:t>[]</a:t>
                </a:fld>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dlblFieldTable/>
              <c15:showDataLabelsRange val="0"/>
            </c:ext>
          </c:extLst>
        </c:dLbl>
      </c:pivotFmt>
      <c:pivotFmt>
        <c:idx val="173"/>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4"/>
        <c:spPr>
          <a:pattFill prst="ltUpDiag">
            <a:fgClr>
              <a:sysClr val="window" lastClr="FFFFFF">
                <a:lumMod val="75000"/>
              </a:sysClr>
            </a:fgClr>
            <a:bgClr>
              <a:sysClr val="window" lastClr="FFFFFF"/>
            </a:bgClr>
          </a:pattFill>
          <a:ln w="9525" cap="flat" cmpd="sng" algn="ctr">
            <a:no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5"/>
        <c:spPr>
          <a:pattFill prst="ltUpDiag">
            <a:fgClr>
              <a:sysClr val="window" lastClr="FFFFFF">
                <a:lumMod val="75000"/>
              </a:sysClr>
            </a:fgClr>
            <a:bgClr>
              <a:sysClr val="window" lastClr="FFFFFF"/>
            </a:bgClr>
          </a:pattFill>
          <a:ln w="9525" cap="flat" cmpd="sng" algn="ctr">
            <a:noFill/>
            <a:round/>
          </a:ln>
          <a:effectLst/>
        </c:spPr>
      </c:pivotFmt>
      <c:pivotFmt>
        <c:idx val="176"/>
        <c:spPr>
          <a:solidFill>
            <a:srgbClr val="70AD47">
              <a:lumMod val="40000"/>
              <a:lumOff val="60000"/>
            </a:srgbClr>
          </a:solidFill>
          <a:ln w="9525" cap="flat" cmpd="sng" algn="ctr">
            <a:solidFill>
              <a:sysClr val="window" lastClr="FFFFFF"/>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7"/>
        <c:spPr>
          <a:solidFill>
            <a:srgbClr val="70AD47">
              <a:lumMod val="40000"/>
              <a:lumOff val="60000"/>
            </a:srgbClr>
          </a:solidFill>
          <a:ln w="9525" cap="flat" cmpd="sng" algn="ctr">
            <a:solidFill>
              <a:sysClr val="window" lastClr="FFFFFF"/>
            </a:solidFill>
            <a:round/>
          </a:ln>
          <a:effectLst/>
        </c:spPr>
      </c:pivotFmt>
      <c:pivotFmt>
        <c:idx val="178"/>
        <c:spPr>
          <a:solidFill>
            <a:srgbClr val="FFC000">
              <a:lumMod val="40000"/>
              <a:lumOff val="60000"/>
            </a:srgbClr>
          </a:solidFill>
          <a:ln w="34925" cap="flat" cmpd="sng" algn="ctr">
            <a:solidFill>
              <a:srgbClr val="FFC000">
                <a:lumMod val="60000"/>
                <a:lumOff val="40000"/>
              </a:srgb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79"/>
        <c:spPr>
          <a:solidFill>
            <a:srgbClr val="FFC000">
              <a:lumMod val="40000"/>
              <a:lumOff val="60000"/>
            </a:srgbClr>
          </a:solidFill>
          <a:ln w="34925" cap="flat" cmpd="sng" algn="ctr">
            <a:solidFill>
              <a:srgbClr val="FFC000">
                <a:lumMod val="60000"/>
                <a:lumOff val="40000"/>
              </a:srgbClr>
            </a:solidFill>
            <a:round/>
          </a:ln>
          <a:effectLst/>
        </c:spPr>
        <c:dLbl>
          <c:idx val="0"/>
          <c:layout>
            <c:manualLayout>
              <c:x val="-0.19074278525230468"/>
              <c:y val="-5.2286971804653382E-17"/>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fld id="{7836B825-9F9F-4128-8000-3B639E994943}" type="CELLREF">
                  <a:rPr lang="en-US"/>
                  <a:pPr>
                    <a:defRPr sz="900" b="0" i="0" u="none" strike="noStrike" kern="1200" baseline="0">
                      <a:solidFill>
                        <a:schemeClr val="tx1">
                          <a:lumMod val="50000"/>
                          <a:lumOff val="50000"/>
                        </a:schemeClr>
                      </a:solidFill>
                      <a:latin typeface="+mn-lt"/>
                      <a:ea typeface="+mn-ea"/>
                      <a:cs typeface="+mn-cs"/>
                    </a:defRPr>
                  </a:pPr>
                  <a:t>[]</a:t>
                </a:fld>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dlblFieldTable/>
              <c15:showDataLabelsRange val="0"/>
            </c:ext>
          </c:extLst>
        </c:dLbl>
      </c:pivotFmt>
      <c:pivotFmt>
        <c:idx val="180"/>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1"/>
        <c:spPr>
          <a:pattFill prst="ltUpDiag">
            <a:fgClr>
              <a:sysClr val="window" lastClr="FFFFFF">
                <a:lumMod val="75000"/>
              </a:sysClr>
            </a:fgClr>
            <a:bgClr>
              <a:sysClr val="window" lastClr="FFFFFF"/>
            </a:bgClr>
          </a:pattFill>
          <a:ln w="9525" cap="flat" cmpd="sng" algn="ctr">
            <a:no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2"/>
        <c:spPr>
          <a:solidFill>
            <a:srgbClr val="70AD47">
              <a:lumMod val="40000"/>
              <a:lumOff val="60000"/>
            </a:srgbClr>
          </a:solidFill>
          <a:ln w="9525" cap="flat" cmpd="sng" algn="ctr">
            <a:solidFill>
              <a:sysClr val="window" lastClr="FFFFFF"/>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3"/>
        <c:spPr>
          <a:solidFill>
            <a:srgbClr val="FFC000">
              <a:lumMod val="40000"/>
              <a:lumOff val="60000"/>
            </a:srgbClr>
          </a:solidFill>
          <a:ln w="34925" cap="flat" cmpd="sng" algn="ctr">
            <a:solidFill>
              <a:srgbClr val="FFC000">
                <a:lumMod val="60000"/>
                <a:lumOff val="40000"/>
              </a:srgb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84"/>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5"/>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6"/>
        <c:spPr>
          <a:gradFill rotWithShape="1">
            <a:gsLst>
              <a:gs pos="0">
                <a:schemeClr val="accent2">
                  <a:lumMod val="110000"/>
                  <a:satMod val="105000"/>
                  <a:tint val="67000"/>
                </a:schemeClr>
              </a:gs>
              <a:gs pos="50000">
                <a:schemeClr val="accent2">
                  <a:lumMod val="105000"/>
                  <a:satMod val="103000"/>
                  <a:tint val="73000"/>
                </a:schemeClr>
              </a:gs>
              <a:gs pos="100000">
                <a:schemeClr val="accent2">
                  <a:lumMod val="105000"/>
                  <a:satMod val="109000"/>
                  <a:tint val="81000"/>
                </a:schemeClr>
              </a:gs>
            </a:gsLst>
            <a:lin ang="5400000" scaled="0"/>
          </a:gradFill>
          <a:ln w="9525" cap="flat" cmpd="sng" algn="ctr">
            <a:solidFill>
              <a:schemeClr val="accent2">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7"/>
        <c:spPr>
          <a:gradFill rotWithShape="1">
            <a:gsLst>
              <a:gs pos="0">
                <a:schemeClr val="accent3">
                  <a:lumMod val="110000"/>
                  <a:satMod val="105000"/>
                  <a:tint val="67000"/>
                </a:schemeClr>
              </a:gs>
              <a:gs pos="50000">
                <a:schemeClr val="accent3">
                  <a:lumMod val="105000"/>
                  <a:satMod val="103000"/>
                  <a:tint val="73000"/>
                </a:schemeClr>
              </a:gs>
              <a:gs pos="100000">
                <a:schemeClr val="accent3">
                  <a:lumMod val="105000"/>
                  <a:satMod val="109000"/>
                  <a:tint val="81000"/>
                </a:schemeClr>
              </a:gs>
            </a:gsLst>
            <a:lin ang="5400000" scaled="0"/>
          </a:gradFill>
          <a:ln w="9525" cap="flat" cmpd="sng" algn="ctr">
            <a:solidFill>
              <a:schemeClr val="accent3">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8"/>
        <c:spPr>
          <a:gradFill rotWithShape="1">
            <a:gsLst>
              <a:gs pos="0">
                <a:schemeClr val="accent4">
                  <a:lumMod val="110000"/>
                  <a:satMod val="105000"/>
                  <a:tint val="67000"/>
                </a:schemeClr>
              </a:gs>
              <a:gs pos="50000">
                <a:schemeClr val="accent4">
                  <a:lumMod val="105000"/>
                  <a:satMod val="103000"/>
                  <a:tint val="73000"/>
                </a:schemeClr>
              </a:gs>
              <a:gs pos="100000">
                <a:schemeClr val="accent4">
                  <a:lumMod val="105000"/>
                  <a:satMod val="109000"/>
                  <a:tint val="81000"/>
                </a:schemeClr>
              </a:gs>
            </a:gsLst>
            <a:lin ang="5400000" scaled="0"/>
          </a:gradFill>
          <a:ln w="9525" cap="flat" cmpd="sng" algn="ctr">
            <a:solidFill>
              <a:schemeClr val="accent4">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bar"/>
        <c:grouping val="clustered"/>
        <c:varyColors val="0"/>
        <c:ser>
          <c:idx val="0"/>
          <c:order val="0"/>
          <c:tx>
            <c:strRef>
              <c:f>'A. Chart Data'!$G$6</c:f>
              <c:strCache>
                <c:ptCount val="1"/>
                <c:pt idx="0">
                  <c:v>Sum of Type 2 diabetics</c:v>
                </c:pt>
              </c:strCache>
            </c:strRef>
          </c:tx>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invertIfNegative val="0"/>
          <c:cat>
            <c:strRef>
              <c:f>'A. Chart Data'!$F$7:$F$8</c:f>
              <c:strCache>
                <c:ptCount val="1"/>
                <c:pt idx="0">
                  <c:v> Crawley Road Medical Centre</c:v>
                </c:pt>
              </c:strCache>
            </c:strRef>
          </c:cat>
          <c:val>
            <c:numRef>
              <c:f>'A. Chart Data'!$G$7:$G$8</c:f>
              <c:numCache>
                <c:formatCode>General</c:formatCode>
                <c:ptCount val="1"/>
                <c:pt idx="0">
                  <c:v>4755</c:v>
                </c:pt>
              </c:numCache>
            </c:numRef>
          </c:val>
          <c:extLst>
            <c:ext xmlns:c16="http://schemas.microsoft.com/office/drawing/2014/chart" uri="{C3380CC4-5D6E-409C-BE32-E72D297353CC}">
              <c16:uniqueId val="{00000000-F01C-4BD1-A368-DBC2EE88DE52}"/>
            </c:ext>
          </c:extLst>
        </c:ser>
        <c:ser>
          <c:idx val="1"/>
          <c:order val="1"/>
          <c:tx>
            <c:strRef>
              <c:f>'A. Chart Data'!$H$6</c:f>
              <c:strCache>
                <c:ptCount val="1"/>
                <c:pt idx="0">
                  <c:v>Sum of diabetes review target</c:v>
                </c:pt>
              </c:strCache>
            </c:strRef>
          </c:tx>
          <c:spPr>
            <a:gradFill rotWithShape="1">
              <a:gsLst>
                <a:gs pos="0">
                  <a:schemeClr val="accent2">
                    <a:lumMod val="110000"/>
                    <a:satMod val="105000"/>
                    <a:tint val="67000"/>
                  </a:schemeClr>
                </a:gs>
                <a:gs pos="50000">
                  <a:schemeClr val="accent2">
                    <a:lumMod val="105000"/>
                    <a:satMod val="103000"/>
                    <a:tint val="73000"/>
                  </a:schemeClr>
                </a:gs>
                <a:gs pos="100000">
                  <a:schemeClr val="accent2">
                    <a:lumMod val="105000"/>
                    <a:satMod val="109000"/>
                    <a:tint val="81000"/>
                  </a:schemeClr>
                </a:gs>
              </a:gsLst>
              <a:lin ang="5400000" scaled="0"/>
            </a:gradFill>
            <a:ln w="9525" cap="flat" cmpd="sng" algn="ctr">
              <a:solidFill>
                <a:schemeClr val="accent2">
                  <a:shade val="95000"/>
                </a:schemeClr>
              </a:solidFill>
              <a:round/>
            </a:ln>
            <a:effectLst/>
          </c:spPr>
          <c:invertIfNegative val="0"/>
          <c:cat>
            <c:strRef>
              <c:f>'A. Chart Data'!$F$7:$F$8</c:f>
              <c:strCache>
                <c:ptCount val="1"/>
                <c:pt idx="0">
                  <c:v> Crawley Road Medical Centre</c:v>
                </c:pt>
              </c:strCache>
            </c:strRef>
          </c:cat>
          <c:val>
            <c:numRef>
              <c:f>'A. Chart Data'!$H$7:$H$8</c:f>
              <c:numCache>
                <c:formatCode>General</c:formatCode>
                <c:ptCount val="1"/>
                <c:pt idx="0">
                  <c:v>2853</c:v>
                </c:pt>
              </c:numCache>
            </c:numRef>
          </c:val>
          <c:extLst>
            <c:ext xmlns:c16="http://schemas.microsoft.com/office/drawing/2014/chart" uri="{C3380CC4-5D6E-409C-BE32-E72D297353CC}">
              <c16:uniqueId val="{00000001-F01C-4BD1-A368-DBC2EE88DE52}"/>
            </c:ext>
          </c:extLst>
        </c:ser>
        <c:ser>
          <c:idx val="2"/>
          <c:order val="2"/>
          <c:tx>
            <c:strRef>
              <c:f>'A. Chart Data'!$I$6</c:f>
              <c:strCache>
                <c:ptCount val="1"/>
                <c:pt idx="0">
                  <c:v>Sum of 1 Diabetes review recorded or proxy 12m</c:v>
                </c:pt>
              </c:strCache>
            </c:strRef>
          </c:tx>
          <c:spPr>
            <a:gradFill rotWithShape="1">
              <a:gsLst>
                <a:gs pos="0">
                  <a:schemeClr val="accent3">
                    <a:lumMod val="110000"/>
                    <a:satMod val="105000"/>
                    <a:tint val="67000"/>
                  </a:schemeClr>
                </a:gs>
                <a:gs pos="50000">
                  <a:schemeClr val="accent3">
                    <a:lumMod val="105000"/>
                    <a:satMod val="103000"/>
                    <a:tint val="73000"/>
                  </a:schemeClr>
                </a:gs>
                <a:gs pos="100000">
                  <a:schemeClr val="accent3">
                    <a:lumMod val="105000"/>
                    <a:satMod val="109000"/>
                    <a:tint val="81000"/>
                  </a:schemeClr>
                </a:gs>
              </a:gsLst>
              <a:lin ang="5400000" scaled="0"/>
            </a:gradFill>
            <a:ln w="9525" cap="flat" cmpd="sng" algn="ctr">
              <a:solidFill>
                <a:schemeClr val="accent3">
                  <a:shade val="95000"/>
                </a:schemeClr>
              </a:solidFill>
              <a:round/>
            </a:ln>
            <a:effectLst/>
          </c:spPr>
          <c:invertIfNegative val="0"/>
          <c:cat>
            <c:strRef>
              <c:f>'A. Chart Data'!$F$7:$F$8</c:f>
              <c:strCache>
                <c:ptCount val="1"/>
                <c:pt idx="0">
                  <c:v> Crawley Road Medical Centre</c:v>
                </c:pt>
              </c:strCache>
            </c:strRef>
          </c:cat>
          <c:val>
            <c:numRef>
              <c:f>'A. Chart Data'!$I$7:$I$8</c:f>
              <c:numCache>
                <c:formatCode>General</c:formatCode>
                <c:ptCount val="1"/>
                <c:pt idx="0">
                  <c:v>3287</c:v>
                </c:pt>
              </c:numCache>
            </c:numRef>
          </c:val>
          <c:extLst>
            <c:ext xmlns:c16="http://schemas.microsoft.com/office/drawing/2014/chart" uri="{C3380CC4-5D6E-409C-BE32-E72D297353CC}">
              <c16:uniqueId val="{00000002-F01C-4BD1-A368-DBC2EE88DE52}"/>
            </c:ext>
          </c:extLst>
        </c:ser>
        <c:ser>
          <c:idx val="3"/>
          <c:order val="3"/>
          <c:tx>
            <c:strRef>
              <c:f>'A. Chart Data'!$J$6</c:f>
              <c:strCache>
                <c:ptCount val="1"/>
                <c:pt idx="0">
                  <c:v>Sum of Diabetes review%</c:v>
                </c:pt>
              </c:strCache>
            </c:strRef>
          </c:tx>
          <c:spPr>
            <a:gradFill rotWithShape="1">
              <a:gsLst>
                <a:gs pos="0">
                  <a:schemeClr val="accent4">
                    <a:lumMod val="110000"/>
                    <a:satMod val="105000"/>
                    <a:tint val="67000"/>
                  </a:schemeClr>
                </a:gs>
                <a:gs pos="50000">
                  <a:schemeClr val="accent4">
                    <a:lumMod val="105000"/>
                    <a:satMod val="103000"/>
                    <a:tint val="73000"/>
                  </a:schemeClr>
                </a:gs>
                <a:gs pos="100000">
                  <a:schemeClr val="accent4">
                    <a:lumMod val="105000"/>
                    <a:satMod val="109000"/>
                    <a:tint val="81000"/>
                  </a:schemeClr>
                </a:gs>
              </a:gsLst>
              <a:lin ang="5400000" scaled="0"/>
            </a:gradFill>
            <a:ln w="9525" cap="flat" cmpd="sng" algn="ctr">
              <a:solidFill>
                <a:schemeClr val="accent4">
                  <a:shade val="95000"/>
                </a:schemeClr>
              </a:solidFill>
              <a:round/>
            </a:ln>
            <a:effectLst/>
          </c:spPr>
          <c:invertIfNegative val="0"/>
          <c:cat>
            <c:strRef>
              <c:f>'A. Chart Data'!$F$7:$F$8</c:f>
              <c:strCache>
                <c:ptCount val="1"/>
                <c:pt idx="0">
                  <c:v> Crawley Road Medical Centre</c:v>
                </c:pt>
              </c:strCache>
            </c:strRef>
          </c:cat>
          <c:val>
            <c:numRef>
              <c:f>'A. Chart Data'!$J$7:$J$8</c:f>
              <c:numCache>
                <c:formatCode>0%</c:formatCode>
                <c:ptCount val="1"/>
                <c:pt idx="0">
                  <c:v>0.69127234490010514</c:v>
                </c:pt>
              </c:numCache>
            </c:numRef>
          </c:val>
          <c:extLst>
            <c:ext xmlns:c16="http://schemas.microsoft.com/office/drawing/2014/chart" uri="{C3380CC4-5D6E-409C-BE32-E72D297353CC}">
              <c16:uniqueId val="{00000003-F01C-4BD1-A368-DBC2EE88DE52}"/>
            </c:ext>
          </c:extLst>
        </c:ser>
        <c:dLbls>
          <c:showLegendKey val="0"/>
          <c:showVal val="0"/>
          <c:showCatName val="0"/>
          <c:showSerName val="0"/>
          <c:showPercent val="0"/>
          <c:showBubbleSize val="0"/>
        </c:dLbls>
        <c:gapWidth val="100"/>
        <c:overlap val="100"/>
        <c:axId val="2088135920"/>
        <c:axId val="2088125520"/>
      </c:barChart>
      <c:valAx>
        <c:axId val="2088125520"/>
        <c:scaling>
          <c:orientation val="minMax"/>
        </c:scaling>
        <c:delete val="1"/>
        <c:axPos val="b"/>
        <c:numFmt formatCode="General" sourceLinked="1"/>
        <c:majorTickMark val="out"/>
        <c:minorTickMark val="none"/>
        <c:tickLblPos val="nextTo"/>
        <c:crossAx val="2088135920"/>
        <c:crosses val="autoZero"/>
        <c:crossBetween val="between"/>
      </c:valAx>
      <c:catAx>
        <c:axId val="2088135920"/>
        <c:scaling>
          <c:orientation val="minMax"/>
        </c:scaling>
        <c:delete val="0"/>
        <c:axPos val="l"/>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crossAx val="2088125520"/>
        <c:crosses val="autoZero"/>
        <c:auto val="1"/>
        <c:lblAlgn val="ctr"/>
        <c:lblOffset val="100"/>
        <c:noMultiLvlLbl val="0"/>
      </c:catAx>
      <c:spPr>
        <a:noFill/>
        <a:ln>
          <a:noFill/>
        </a:ln>
        <a:effectLst/>
      </c:spPr>
    </c:plotArea>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5.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6.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7.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8.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9.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0.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1.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2.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3.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4.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8">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800" kern="1200" cap="all" spc="120" normalizeH="0" baseline="0"/>
  </cs:categoryAxis>
  <cs:chartArea mods="allowNoFillOverride allowNoLineOverride">
    <cs:lnRef idx="0"/>
    <cs:fillRef idx="0"/>
    <cs:effectRef idx="0"/>
    <cs:fontRef idx="minor">
      <a:schemeClr val="dk1"/>
    </cs:fontRef>
    <cs:spPr>
      <a:solidFill>
        <a:schemeClr val="lt1"/>
      </a:solidFill>
      <a:ln w="9525" cap="flat" cmpd="sng" algn="ctr">
        <a:solidFill>
          <a:schemeClr val="tx1">
            <a:lumMod val="15000"/>
            <a:lumOff val="85000"/>
          </a:schemeClr>
        </a:solidFill>
        <a:round/>
      </a:ln>
    </cs:spPr>
    <cs:defRPr sz="900" kern="1200"/>
  </cs:chartArea>
  <cs:dataLabel>
    <cs:lnRef idx="0"/>
    <cs:fillRef idx="0"/>
    <cs:effectRef idx="0"/>
    <cs:fontRef idx="minor">
      <a:schemeClr val="lt1"/>
    </cs:fontRef>
    <cs:defRPr sz="900" b="0" i="0" u="none" strike="noStrike" kern="1200" baseline="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phClr"/>
      </a:solidFill>
      <a:ln w="9525">
        <a:solidFill>
          <a:schemeClr val="phClr"/>
        </a:solidFill>
        <a:round/>
      </a:ln>
    </cs:spPr>
  </cs:dataPointMarker>
  <cs:dataPointMarkerLayout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15000"/>
            <a:lumOff val="85000"/>
          </a:schemeClr>
        </a:solidFill>
      </a:ln>
    </cs:spPr>
  </cs:downBar>
  <cs:dropLine>
    <cs:lnRef idx="0"/>
    <cs:fillRef idx="0"/>
    <cs:effectRef idx="0"/>
    <cs:fontRef idx="minor">
      <a:schemeClr val="dk1"/>
    </cs:fontRef>
    <cs:spPr>
      <a:ln w="9525">
        <a:solidFill>
          <a:schemeClr val="tx1">
            <a:lumMod val="35000"/>
            <a:lumOff val="65000"/>
          </a:schemeClr>
        </a:solidFill>
      </a:ln>
    </cs:spPr>
  </cs:dropLine>
  <cs:errorBar>
    <cs:lnRef idx="0"/>
    <cs:fillRef idx="0"/>
    <cs:effectRef idx="0"/>
    <cs:fontRef idx="minor">
      <a:schemeClr val="dk1"/>
    </cs:fontRef>
    <cs:spPr>
      <a:ln w="9525">
        <a:solidFill>
          <a:schemeClr val="tx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cap="all" spc="120" normalizeH="0" baseline="0"/>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800" kern="1200"/>
  </cs:trendlineLabel>
  <cs:upBar>
    <cs:lnRef idx="0"/>
    <cs:fillRef idx="0"/>
    <cs:effectRef idx="0"/>
    <cs:fontRef idx="minor">
      <a:schemeClr val="dk1"/>
    </cs:fontRef>
    <cs:spPr>
      <a:solidFill>
        <a:schemeClr val="lt1"/>
      </a:solidFill>
      <a:ln w="9525">
        <a:solidFill>
          <a:schemeClr val="tx1">
            <a:lumMod val="65000"/>
            <a:lumOff val="35000"/>
          </a:schemeClr>
        </a:solidFill>
      </a:ln>
    </cs:spPr>
  </cs:upBar>
  <cs:valueAxis>
    <cs:lnRef idx="0"/>
    <cs:fillRef idx="0"/>
    <cs:effectRef idx="0"/>
    <cs:fontRef idx="minor">
      <a:schemeClr val="tx1">
        <a:lumMod val="65000"/>
        <a:lumOff val="35000"/>
      </a:schemeClr>
    </cs:fontRef>
    <cs:spPr>
      <a:ln w="9525" cap="flat" cmpd="sng" algn="ctr">
        <a:solidFill>
          <a:schemeClr val="dk1">
            <a:lumMod val="15000"/>
            <a:lumOff val="85000"/>
          </a:schemeClr>
        </a:solidFill>
        <a:round/>
      </a:ln>
    </cs:spPr>
    <cs:defRPr sz="900" kern="1200"/>
  </cs:valueAxis>
  <cs:wall>
    <cs:lnRef idx="0"/>
    <cs:fillRef idx="0"/>
    <cs:effectRef idx="0"/>
    <cs:fontRef idx="minor">
      <a:schemeClr val="dk1"/>
    </cs:fontRef>
  </cs:wall>
</cs:chartStyle>
</file>

<file path=xl/charts/style2.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28">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styleClr val="auto"/>
    </cs:fillRef>
    <cs:effectRef idx="0"/>
    <cs:fontRef idx="minor">
      <a:schemeClr val="lt1"/>
    </cs:fontRef>
    <cs:defRPr sz="900" b="1" i="0" u="none" strike="noStrike" kern="1200" baseline="0"/>
  </cs:dataLabel>
  <cs:dataLabelCallout>
    <cs:lnRef idx="0"/>
    <cs:fillRef idx="0"/>
    <cs:effectRef idx="0"/>
    <cs:fontRef idx="minor">
      <a:schemeClr val="lt1"/>
    </cs:fontRef>
    <cs:spPr>
      <a:solidFill>
        <a:schemeClr val="dk1">
          <a:lumMod val="65000"/>
          <a:lumOff val="35000"/>
          <a:alpha val="75000"/>
        </a:schemeClr>
      </a:solidFill>
    </cs:spPr>
    <cs:defRPr sz="900" b="1"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
  <cs:dataPoint3D>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3D>
  <cs:dataPointLine>
    <cs:lnRef idx="0">
      <cs:styleClr val="auto"/>
    </cs:lnRef>
    <cs:fillRef idx="0"/>
    <cs:effectRef idx="0"/>
    <cs:fontRef idx="minor">
      <a:schemeClr val="dk1"/>
    </cs:fontRef>
    <cs:spPr>
      <a:ln w="31750" cap="rnd">
        <a:solidFill>
          <a:schemeClr val="phClr"/>
        </a:solidFill>
        <a:round/>
      </a:ln>
    </cs:spPr>
  </cs:dataPointLine>
  <cs:dataPointMarker>
    <cs:lnRef idx="0"/>
    <cs:fillRef idx="0">
      <cs:styleClr val="auto"/>
    </cs:fillRef>
    <cs:effectRef idx="0"/>
    <cs:fontRef idx="minor">
      <a:schemeClr val="dk1"/>
    </cs:fontRef>
    <cs:spPr>
      <a:solidFill>
        <a:schemeClr val="phClr"/>
      </a:solidFill>
    </cs:spPr>
  </cs:dataPointMarker>
  <cs:dataPointMarkerLayout symbol="circle" size="17"/>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8.xml><?xml version="1.0" encoding="utf-8"?>
<cs:chartStyle xmlns:cs="http://schemas.microsoft.com/office/drawing/2012/chartStyle" xmlns:a="http://schemas.openxmlformats.org/drawingml/2006/main" id="228">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styleClr val="auto"/>
    </cs:fillRef>
    <cs:effectRef idx="0"/>
    <cs:fontRef idx="minor">
      <a:schemeClr val="lt1"/>
    </cs:fontRef>
    <cs:defRPr sz="900" b="1" i="0" u="none" strike="noStrike" kern="1200" baseline="0"/>
  </cs:dataLabel>
  <cs:dataLabelCallout>
    <cs:lnRef idx="0"/>
    <cs:fillRef idx="0"/>
    <cs:effectRef idx="0"/>
    <cs:fontRef idx="minor">
      <a:schemeClr val="lt1"/>
    </cs:fontRef>
    <cs:spPr>
      <a:solidFill>
        <a:schemeClr val="dk1">
          <a:lumMod val="65000"/>
          <a:lumOff val="35000"/>
          <a:alpha val="75000"/>
        </a:schemeClr>
      </a:solidFill>
    </cs:spPr>
    <cs:defRPr sz="900" b="1"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
  <cs:dataPoint3D>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3D>
  <cs:dataPointLine>
    <cs:lnRef idx="0">
      <cs:styleClr val="auto"/>
    </cs:lnRef>
    <cs:fillRef idx="0"/>
    <cs:effectRef idx="0"/>
    <cs:fontRef idx="minor">
      <a:schemeClr val="dk1"/>
    </cs:fontRef>
    <cs:spPr>
      <a:ln w="31750" cap="rnd">
        <a:solidFill>
          <a:schemeClr val="phClr"/>
        </a:solidFill>
        <a:round/>
      </a:ln>
    </cs:spPr>
  </cs:dataPointLine>
  <cs:dataPointMarker>
    <cs:lnRef idx="0"/>
    <cs:fillRef idx="0">
      <cs:styleClr val="auto"/>
    </cs:fillRef>
    <cs:effectRef idx="0"/>
    <cs:fontRef idx="minor">
      <a:schemeClr val="dk1"/>
    </cs:fontRef>
    <cs:spPr>
      <a:solidFill>
        <a:schemeClr val="phClr"/>
      </a:solidFill>
    </cs:spPr>
  </cs:dataPointMarker>
  <cs:dataPointMarkerLayout symbol="circle" size="17"/>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9.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302">
  <cs:axisTitle>
    <cs:lnRef idx="0"/>
    <cs:fillRef idx="0"/>
    <cs:effectRef idx="0"/>
    <cs:fontRef idx="minor">
      <a:schemeClr val="tx2"/>
    </cs:fontRef>
    <cs:defRPr sz="900" b="1" kern="1200"/>
  </cs:axisTitle>
  <cs:categoryAxis>
    <cs:lnRef idx="0"/>
    <cs:fillRef idx="0"/>
    <cs:effectRef idx="0"/>
    <cs:fontRef idx="minor">
      <a:schemeClr val="tx2"/>
    </cs:fontRef>
    <cs:spPr>
      <a:ln w="9525" cap="flat" cmpd="sng" algn="ctr">
        <a:solidFill>
          <a:schemeClr val="tx2">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2">
            <a:lumMod val="15000"/>
            <a:lumOff val="85000"/>
          </a:schemeClr>
        </a:solidFill>
        <a:round/>
      </a:ln>
    </cs:spPr>
    <cs:defRPr sz="900" kern="1200"/>
  </cs:chartArea>
  <cs:dataLabel>
    <cs:lnRef idx="0"/>
    <cs:fillRef idx="0"/>
    <cs:effectRef idx="0"/>
    <cs:fontRef idx="minor">
      <a:schemeClr val="tx2"/>
    </cs:fontRef>
    <cs:defRPr sz="900" kern="1200"/>
  </cs:dataLabel>
  <cs:dataLabelCallout>
    <cs:lnRef idx="0"/>
    <cs:fillRef idx="0"/>
    <cs:effectRef idx="0"/>
    <cs:fontRef idx="minor">
      <a:schemeClr val="dk2">
        <a:lumMod val="7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2"/>
    <cs:fontRef idx="minor">
      <a:schemeClr val="tx2"/>
    </cs:fontRef>
  </cs:dataPoint>
  <cs:dataPoint3D>
    <cs:lnRef idx="0"/>
    <cs:fillRef idx="3">
      <cs:styleClr val="auto"/>
    </cs:fillRef>
    <cs:effectRef idx="2"/>
    <cs:fontRef idx="minor">
      <a:schemeClr val="tx2"/>
    </cs:fontRef>
  </cs:dataPoint3D>
  <cs:dataPointLine>
    <cs:lnRef idx="0">
      <cs:styleClr val="auto"/>
    </cs:lnRef>
    <cs:fillRef idx="3"/>
    <cs:effectRef idx="2"/>
    <cs:fontRef idx="minor">
      <a:schemeClr val="tx2"/>
    </cs:fontRef>
    <cs:spPr>
      <a:ln w="31750" cap="rnd">
        <a:solidFill>
          <a:schemeClr val="phClr"/>
        </a:solidFill>
        <a:round/>
      </a:ln>
    </cs:spPr>
  </cs:dataPointLine>
  <cs:dataPointMarker>
    <cs:lnRef idx="0"/>
    <cs:fillRef idx="3">
      <cs:styleClr val="auto"/>
    </cs:fillRef>
    <cs:effectRef idx="2"/>
    <cs:fontRef idx="minor">
      <a:schemeClr val="tx2"/>
    </cs:fontRef>
    <cs:spPr>
      <a:ln w="12700">
        <a:solidFill>
          <a:schemeClr val="lt2"/>
        </a:solidFill>
        <a:round/>
      </a:ln>
    </cs:spPr>
  </cs:dataPointMarker>
  <cs:dataPointMarkerLayout symbol="circle" size="6"/>
  <cs:dataPointWireframe>
    <cs:lnRef idx="0">
      <cs:styleClr val="auto"/>
    </cs:lnRef>
    <cs:fillRef idx="3"/>
    <cs:effectRef idx="2"/>
    <cs:fontRef idx="minor">
      <a:schemeClr val="tx2"/>
    </cs:fontRef>
    <cs:spPr>
      <a:ln w="9525" cap="rnd">
        <a:solidFill>
          <a:schemeClr val="phClr"/>
        </a:solidFill>
        <a:round/>
      </a:ln>
    </cs:spPr>
  </cs:dataPointWireframe>
  <cs:dataTable>
    <cs:lnRef idx="0"/>
    <cs:fillRef idx="0"/>
    <cs:effectRef idx="0"/>
    <cs:fontRef idx="minor">
      <a:schemeClr val="tx2"/>
    </cs:fontRef>
    <cs:spPr>
      <a:ln w="9525">
        <a:solidFill>
          <a:schemeClr val="tx2">
            <a:lumMod val="15000"/>
            <a:lumOff val="85000"/>
          </a:schemeClr>
        </a:solidFill>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2"/>
    </cs:fontRef>
    <cs:spPr>
      <a:ln w="9525">
        <a:solidFill>
          <a:schemeClr val="tx2">
            <a:lumMod val="60000"/>
            <a:lumOff val="40000"/>
          </a:schemeClr>
        </a:solidFill>
        <a:prstDash val="dash"/>
      </a:ln>
    </cs:spPr>
  </cs:dropLine>
  <cs:errorBar>
    <cs:lnRef idx="0"/>
    <cs:fillRef idx="0"/>
    <cs:effectRef idx="0"/>
    <cs:fontRef idx="minor">
      <a:schemeClr val="tx2"/>
    </cs:fontRef>
    <cs:spPr>
      <a:ln w="9525">
        <a:solidFill>
          <a:schemeClr val="tx2">
            <a:lumMod val="75000"/>
          </a:schemeClr>
        </a:solidFill>
        <a:round/>
      </a:ln>
    </cs:spPr>
  </cs:errorBar>
  <cs:floor>
    <cs:lnRef idx="0"/>
    <cs:fillRef idx="0"/>
    <cs:effectRef idx="0"/>
    <cs:fontRef idx="minor">
      <a:schemeClr val="tx2"/>
    </cs:fontRef>
  </cs:floor>
  <cs:gridlineMajor>
    <cs:lnRef idx="0"/>
    <cs:fillRef idx="0"/>
    <cs:effectRef idx="0"/>
    <cs:fontRef idx="minor">
      <a:schemeClr val="tx2"/>
    </cs:fontRef>
    <cs:spPr>
      <a:ln w="9525" cap="flat" cmpd="sng" algn="ctr">
        <a:solidFill>
          <a:schemeClr val="tx2">
            <a:lumMod val="15000"/>
            <a:lumOff val="85000"/>
          </a:schemeClr>
        </a:solidFill>
        <a:round/>
      </a:ln>
    </cs:spPr>
  </cs:gridlineMajor>
  <cs:gridlineMinor>
    <cs:lnRef idx="0"/>
    <cs:fillRef idx="0"/>
    <cs:effectRef idx="0"/>
    <cs:fontRef idx="minor">
      <a:schemeClr val="tx2"/>
    </cs:fontRef>
    <cs:spPr>
      <a:ln>
        <a:solidFill>
          <a:schemeClr val="tx2">
            <a:lumMod val="5000"/>
            <a:lumOff val="95000"/>
          </a:schemeClr>
        </a:solidFill>
      </a:ln>
    </cs:spPr>
  </cs:gridlineMinor>
  <cs:hiLoLine>
    <cs:lnRef idx="0"/>
    <cs:fillRef idx="0"/>
    <cs:effectRef idx="0"/>
    <cs:fontRef idx="minor">
      <a:schemeClr val="tx2"/>
    </cs:fontRef>
    <cs:spPr>
      <a:ln w="9525">
        <a:solidFill>
          <a:schemeClr val="tx2">
            <a:lumMod val="60000"/>
            <a:lumOff val="40000"/>
          </a:schemeClr>
        </a:solidFill>
        <a:prstDash val="dash"/>
      </a:ln>
    </cs:spPr>
  </cs:hiLoLine>
  <cs:leaderLine>
    <cs:lnRef idx="0"/>
    <cs:fillRef idx="0"/>
    <cs:effectRef idx="0"/>
    <cs:fontRef idx="minor">
      <a:schemeClr val="tx2"/>
    </cs:fontRef>
    <cs:spPr>
      <a:ln w="9525">
        <a:solidFill>
          <a:schemeClr val="tx2">
            <a:lumMod val="35000"/>
            <a:lumOff val="65000"/>
          </a:schemeClr>
        </a:solidFill>
      </a:ln>
    </cs:spPr>
  </cs:leaderLine>
  <cs:legend>
    <cs:lnRef idx="0"/>
    <cs:fillRef idx="0"/>
    <cs:effectRef idx="0"/>
    <cs:fontRef idx="minor">
      <a:schemeClr val="tx2"/>
    </cs:fontRef>
    <cs:defRPr sz="900" kern="1200"/>
  </cs:legend>
  <cs:plotArea>
    <cs:lnRef idx="0"/>
    <cs:fillRef idx="0"/>
    <cs:effectRef idx="0"/>
    <cs:fontRef idx="minor">
      <a:schemeClr val="tx2"/>
    </cs:fontRef>
  </cs:plotArea>
  <cs:plotArea3D>
    <cs:lnRef idx="0"/>
    <cs:fillRef idx="0"/>
    <cs:effectRef idx="0"/>
    <cs:fontRef idx="minor">
      <a:schemeClr val="tx2"/>
    </cs:fontRef>
  </cs:plotArea3D>
  <cs:seriesAxis>
    <cs:lnRef idx="0"/>
    <cs:fillRef idx="0"/>
    <cs:effectRef idx="0"/>
    <cs:fontRef idx="minor">
      <a:schemeClr val="tx2"/>
    </cs:fontRef>
    <cs:spPr>
      <a:ln w="9525" cap="flat" cmpd="sng" algn="ctr">
        <a:solidFill>
          <a:schemeClr val="tx2">
            <a:lumMod val="15000"/>
            <a:lumOff val="85000"/>
          </a:schemeClr>
        </a:solidFill>
        <a:round/>
      </a:ln>
    </cs:spPr>
    <cs:defRPr sz="900" kern="1200"/>
  </cs:seriesAxis>
  <cs:seriesLine>
    <cs:lnRef idx="0"/>
    <cs:fillRef idx="0"/>
    <cs:effectRef idx="0"/>
    <cs:fontRef idx="minor">
      <a:schemeClr val="tx2"/>
    </cs:fontRef>
    <cs:spPr>
      <a:ln w="9525">
        <a:solidFill>
          <a:schemeClr val="tx2">
            <a:lumMod val="60000"/>
            <a:lumOff val="40000"/>
          </a:schemeClr>
        </a:solidFill>
        <a:prstDash val="dash"/>
      </a:ln>
    </cs:spPr>
  </cs:seriesLine>
  <cs:title>
    <cs:lnRef idx="0"/>
    <cs:fillRef idx="0"/>
    <cs:effectRef idx="0"/>
    <cs:fontRef idx="minor">
      <a:schemeClr val="tx2"/>
    </cs:fontRef>
    <cs:defRPr sz="1600" b="1" kern="1200"/>
  </cs:title>
  <cs:trendline>
    <cs:lnRef idx="0">
      <cs:styleClr val="auto"/>
    </cs:lnRef>
    <cs:fillRef idx="0"/>
    <cs:effectRef idx="0"/>
    <cs:fontRef idx="minor">
      <a:schemeClr val="tx2"/>
    </cs:fontRef>
    <cs:spPr>
      <a:ln w="19050" cap="rnd">
        <a:solidFill>
          <a:schemeClr val="phClr"/>
        </a:solidFill>
        <a:prstDash val="sysDash"/>
      </a:ln>
    </cs:spPr>
  </cs:trendline>
  <cs:trendlineLabel>
    <cs:lnRef idx="0"/>
    <cs:fillRef idx="0"/>
    <cs:effectRef idx="0"/>
    <cs:fontRef idx="minor">
      <a:schemeClr val="tx2"/>
    </cs:fontRef>
    <cs:defRPr sz="900" kern="1200"/>
  </cs:trendlineLabel>
  <cs:upBar>
    <cs:lnRef idx="0"/>
    <cs:fillRef idx="0"/>
    <cs:effectRef idx="0"/>
    <cs:fontRef idx="minor">
      <a:schemeClr val="tx2"/>
    </cs:fontRef>
    <cs:spPr>
      <a:solidFill>
        <a:schemeClr val="lt1"/>
      </a:solidFill>
      <a:ln w="9525">
        <a:solidFill>
          <a:schemeClr val="tx1">
            <a:lumMod val="15000"/>
            <a:lumOff val="85000"/>
          </a:schemeClr>
        </a:solidFill>
      </a:ln>
    </cs:spPr>
  </cs:upBar>
  <cs:valueAxis>
    <cs:lnRef idx="0"/>
    <cs:fillRef idx="0"/>
    <cs:effectRef idx="0"/>
    <cs:fontRef idx="minor">
      <a:schemeClr val="tx2"/>
    </cs:fontRef>
    <cs:defRPr sz="900" kern="1200"/>
  </cs:valueAxis>
  <cs:wall>
    <cs:lnRef idx="0"/>
    <cs:fillRef idx="0"/>
    <cs:effectRef idx="0"/>
    <cs:fontRef idx="minor">
      <a:schemeClr val="tx2"/>
    </cs:fontRef>
  </cs:wall>
</cs:chartStyle>
</file>

<file path=xl/charts/style11.xml><?xml version="1.0" encoding="utf-8"?>
<cs:chartStyle xmlns:cs="http://schemas.microsoft.com/office/drawing/2012/chartStyle" xmlns:a="http://schemas.openxmlformats.org/drawingml/2006/main" id="228">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styleClr val="auto"/>
    </cs:fillRef>
    <cs:effectRef idx="0"/>
    <cs:fontRef idx="minor">
      <a:schemeClr val="lt1"/>
    </cs:fontRef>
    <cs:defRPr sz="900" b="1" i="0" u="none" strike="noStrike" kern="1200" baseline="0"/>
  </cs:dataLabel>
  <cs:dataLabelCallout>
    <cs:lnRef idx="0"/>
    <cs:fillRef idx="0"/>
    <cs:effectRef idx="0"/>
    <cs:fontRef idx="minor">
      <a:schemeClr val="lt1"/>
    </cs:fontRef>
    <cs:spPr>
      <a:solidFill>
        <a:schemeClr val="dk1">
          <a:lumMod val="65000"/>
          <a:lumOff val="35000"/>
          <a:alpha val="75000"/>
        </a:schemeClr>
      </a:solidFill>
    </cs:spPr>
    <cs:defRPr sz="900" b="1"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
  <cs:dataPoint3D>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3D>
  <cs:dataPointLine>
    <cs:lnRef idx="0">
      <cs:styleClr val="auto"/>
    </cs:lnRef>
    <cs:fillRef idx="0"/>
    <cs:effectRef idx="0"/>
    <cs:fontRef idx="minor">
      <a:schemeClr val="dk1"/>
    </cs:fontRef>
    <cs:spPr>
      <a:ln w="31750" cap="rnd">
        <a:solidFill>
          <a:schemeClr val="phClr"/>
        </a:solidFill>
        <a:round/>
      </a:ln>
    </cs:spPr>
  </cs:dataPointLine>
  <cs:dataPointMarker>
    <cs:lnRef idx="0"/>
    <cs:fillRef idx="0">
      <cs:styleClr val="auto"/>
    </cs:fillRef>
    <cs:effectRef idx="0"/>
    <cs:fontRef idx="minor">
      <a:schemeClr val="dk1"/>
    </cs:fontRef>
    <cs:spPr>
      <a:solidFill>
        <a:schemeClr val="phClr"/>
      </a:solidFill>
    </cs:spPr>
  </cs:dataPointMarker>
  <cs:dataPointMarkerLayout symbol="circle" size="17"/>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12.xml><?xml version="1.0" encoding="utf-8"?>
<cs:chartStyle xmlns:cs="http://schemas.microsoft.com/office/drawing/2012/chartStyle" xmlns:a="http://schemas.openxmlformats.org/drawingml/2006/main" id="228">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styleClr val="auto"/>
    </cs:fillRef>
    <cs:effectRef idx="0"/>
    <cs:fontRef idx="minor">
      <a:schemeClr val="lt1"/>
    </cs:fontRef>
    <cs:defRPr sz="900" b="1" i="0" u="none" strike="noStrike" kern="1200" baseline="0"/>
  </cs:dataLabel>
  <cs:dataLabelCallout>
    <cs:lnRef idx="0"/>
    <cs:fillRef idx="0"/>
    <cs:effectRef idx="0"/>
    <cs:fontRef idx="minor">
      <a:schemeClr val="lt1"/>
    </cs:fontRef>
    <cs:spPr>
      <a:solidFill>
        <a:schemeClr val="dk1">
          <a:lumMod val="65000"/>
          <a:lumOff val="35000"/>
          <a:alpha val="75000"/>
        </a:schemeClr>
      </a:solidFill>
    </cs:spPr>
    <cs:defRPr sz="900" b="1"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
  <cs:dataPoint3D>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3D>
  <cs:dataPointLine>
    <cs:lnRef idx="0">
      <cs:styleClr val="auto"/>
    </cs:lnRef>
    <cs:fillRef idx="0"/>
    <cs:effectRef idx="0"/>
    <cs:fontRef idx="minor">
      <a:schemeClr val="dk1"/>
    </cs:fontRef>
    <cs:spPr>
      <a:ln w="31750" cap="rnd">
        <a:solidFill>
          <a:schemeClr val="phClr"/>
        </a:solidFill>
        <a:round/>
      </a:ln>
    </cs:spPr>
  </cs:dataPointLine>
  <cs:dataPointMarker>
    <cs:lnRef idx="0"/>
    <cs:fillRef idx="0">
      <cs:styleClr val="auto"/>
    </cs:fillRef>
    <cs:effectRef idx="0"/>
    <cs:fontRef idx="minor">
      <a:schemeClr val="dk1"/>
    </cs:fontRef>
    <cs:spPr>
      <a:solidFill>
        <a:schemeClr val="phClr"/>
      </a:solidFill>
    </cs:spPr>
  </cs:dataPointMarker>
  <cs:dataPointMarkerLayout symbol="circle" size="17"/>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1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5.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6.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7.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8.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9.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0.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5.xml><?xml version="1.0" encoding="utf-8"?>
<cs:chartStyle xmlns:cs="http://schemas.microsoft.com/office/drawing/2012/chartStyle" xmlns:a="http://schemas.openxmlformats.org/drawingml/2006/main" id="219">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3" Type="http://schemas.openxmlformats.org/officeDocument/2006/relationships/chart" Target="../charts/chart6.xml"/><Relationship Id="rId2" Type="http://schemas.openxmlformats.org/officeDocument/2006/relationships/chart" Target="../charts/chart5.xml"/><Relationship Id="rId1" Type="http://schemas.openxmlformats.org/officeDocument/2006/relationships/chart" Target="../charts/chart4.xml"/><Relationship Id="rId5" Type="http://schemas.openxmlformats.org/officeDocument/2006/relationships/chart" Target="../charts/chart8.xml"/><Relationship Id="rId4" Type="http://schemas.openxmlformats.org/officeDocument/2006/relationships/chart" Target="../charts/chart7.xml"/></Relationships>
</file>

<file path=xl/drawings/_rels/drawing5.xml.rels><?xml version="1.0" encoding="UTF-8" standalone="yes"?>
<Relationships xmlns="http://schemas.openxmlformats.org/package/2006/relationships"><Relationship Id="rId3" Type="http://schemas.openxmlformats.org/officeDocument/2006/relationships/chart" Target="../charts/chart11.xml"/><Relationship Id="rId2" Type="http://schemas.openxmlformats.org/officeDocument/2006/relationships/chart" Target="../charts/chart10.xml"/><Relationship Id="rId1" Type="http://schemas.openxmlformats.org/officeDocument/2006/relationships/chart" Target="../charts/chart9.xml"/><Relationship Id="rId5" Type="http://schemas.openxmlformats.org/officeDocument/2006/relationships/image" Target="../media/image2.png"/><Relationship Id="rId4"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chart" Target="../charts/chart12.xml"/></Relationships>
</file>

<file path=xl/drawings/_rels/drawing10.xml.rels><?xml version="1.0" encoding="UTF-8" standalone="yes"?>
<Relationships xmlns="http://schemas.openxmlformats.org/package/2006/relationships"><Relationship Id="rId2" Type="http://schemas.openxmlformats.org/officeDocument/2006/relationships/chart" Target="../charts/chart14.xml"/><Relationship Id="rId1" Type="http://schemas.openxmlformats.org/officeDocument/2006/relationships/chart" Target="../charts/chart13.xml"/></Relationships>
</file>

<file path=xl/drawings/_rels/drawing11.xml.rels><?xml version="1.0" encoding="UTF-8" standalone="yes"?>
<Relationships xmlns="http://schemas.openxmlformats.org/package/2006/relationships"><Relationship Id="rId3" Type="http://schemas.openxmlformats.org/officeDocument/2006/relationships/chart" Target="../charts/chart17.xml"/><Relationship Id="rId2" Type="http://schemas.openxmlformats.org/officeDocument/2006/relationships/chart" Target="../charts/chart16.xml"/><Relationship Id="rId1" Type="http://schemas.openxmlformats.org/officeDocument/2006/relationships/chart" Target="../charts/chart15.xml"/></Relationships>
</file>

<file path=xl/drawings/_rels/drawing12.xml.rels><?xml version="1.0" encoding="UTF-8" standalone="yes"?>
<Relationships xmlns="http://schemas.openxmlformats.org/package/2006/relationships"><Relationship Id="rId3" Type="http://schemas.openxmlformats.org/officeDocument/2006/relationships/chart" Target="../charts/chart20.xml"/><Relationship Id="rId2" Type="http://schemas.openxmlformats.org/officeDocument/2006/relationships/chart" Target="../charts/chart19.xml"/><Relationship Id="rId1" Type="http://schemas.openxmlformats.org/officeDocument/2006/relationships/chart" Target="../charts/chart18.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22.xml"/><Relationship Id="rId1" Type="http://schemas.openxmlformats.org/officeDocument/2006/relationships/chart" Target="../charts/chart21.xml"/></Relationships>
</file>

<file path=xl/drawings/_rels/drawing14.xml.rels><?xml version="1.0" encoding="UTF-8" standalone="yes"?>
<Relationships xmlns="http://schemas.openxmlformats.org/package/2006/relationships"><Relationship Id="rId1" Type="http://schemas.openxmlformats.org/officeDocument/2006/relationships/chart" Target="../charts/chart23.xml"/></Relationships>
</file>

<file path=xl/drawings/_rels/drawing15.xml.rels><?xml version="1.0" encoding="UTF-8" standalone="yes"?>
<Relationships xmlns="http://schemas.openxmlformats.org/package/2006/relationships"><Relationship Id="rId1" Type="http://schemas.openxmlformats.org/officeDocument/2006/relationships/chart" Target="../charts/chart24.xml"/></Relationships>
</file>

<file path=xl/drawings/_rels/drawing16.xml.rels><?xml version="1.0" encoding="UTF-8" standalone="yes"?>
<Relationships xmlns="http://schemas.openxmlformats.org/package/2006/relationships"><Relationship Id="rId1" Type="http://schemas.openxmlformats.org/officeDocument/2006/relationships/chart" Target="../charts/chart25.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6.emf"/></Relationships>
</file>

<file path=xl/drawings/_rels/vmlDrawing5.vml.rels><?xml version="1.0" encoding="UTF-8" standalone="yes"?>
<Relationships xmlns="http://schemas.openxmlformats.org/package/2006/relationships"><Relationship Id="rId1" Type="http://schemas.openxmlformats.org/officeDocument/2006/relationships/image" Target="../media/image7.emf"/></Relationships>
</file>

<file path=xl/drawings/_rels/vmlDrawing6.vml.rels><?xml version="1.0" encoding="UTF-8" standalone="yes"?>
<Relationships xmlns="http://schemas.openxmlformats.org/package/2006/relationships"><Relationship Id="rId1" Type="http://schemas.openxmlformats.org/officeDocument/2006/relationships/image" Target="../media/image8.emf"/></Relationships>
</file>

<file path=xl/drawings/_rels/vmlDrawing7.vml.rels><?xml version="1.0" encoding="UTF-8" standalone="yes"?>
<Relationships xmlns="http://schemas.openxmlformats.org/package/2006/relationships"><Relationship Id="rId1" Type="http://schemas.openxmlformats.org/officeDocument/2006/relationships/image" Target="../media/image9.emf"/></Relationships>
</file>

<file path=xl/drawings/_rels/vmlDrawing8.vml.rels><?xml version="1.0" encoding="UTF-8" standalone="yes"?>
<Relationships xmlns="http://schemas.openxmlformats.org/package/2006/relationships"><Relationship Id="rId1" Type="http://schemas.openxmlformats.org/officeDocument/2006/relationships/image" Target="../media/image10.emf"/></Relationships>
</file>

<file path=xl/drawings/drawing1.xml><?xml version="1.0" encoding="utf-8"?>
<xdr:wsDr xmlns:xdr="http://schemas.openxmlformats.org/drawingml/2006/spreadsheetDrawing" xmlns:a="http://schemas.openxmlformats.org/drawingml/2006/main">
  <xdr:twoCellAnchor>
    <xdr:from>
      <xdr:col>10</xdr:col>
      <xdr:colOff>82551</xdr:colOff>
      <xdr:row>1</xdr:row>
      <xdr:rowOff>88901</xdr:rowOff>
    </xdr:from>
    <xdr:to>
      <xdr:col>14</xdr:col>
      <xdr:colOff>158751</xdr:colOff>
      <xdr:row>15</xdr:row>
      <xdr:rowOff>152401</xdr:rowOff>
    </xdr:to>
    <xdr:graphicFrame macro="">
      <xdr:nvGraphicFramePr>
        <xdr:cNvPr id="2" name="Chart 1">
          <a:extLst>
            <a:ext uri="{FF2B5EF4-FFF2-40B4-BE49-F238E27FC236}">
              <a16:creationId xmlns:a16="http://schemas.microsoft.com/office/drawing/2014/main" id="{00000000-0008-0000-00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260350</xdr:colOff>
      <xdr:row>1</xdr:row>
      <xdr:rowOff>60325</xdr:rowOff>
    </xdr:from>
    <xdr:to>
      <xdr:col>10</xdr:col>
      <xdr:colOff>190500</xdr:colOff>
      <xdr:row>16</xdr:row>
      <xdr:rowOff>0</xdr:rowOff>
    </xdr:to>
    <xdr:graphicFrame macro="">
      <xdr:nvGraphicFramePr>
        <xdr:cNvPr id="3" name="Chart 2">
          <a:extLst>
            <a:ext uri="{FF2B5EF4-FFF2-40B4-BE49-F238E27FC236}">
              <a16:creationId xmlns:a16="http://schemas.microsoft.com/office/drawing/2014/main" id="{00000000-0008-0000-00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7</xdr:col>
      <xdr:colOff>69850</xdr:colOff>
      <xdr:row>20</xdr:row>
      <xdr:rowOff>120650</xdr:rowOff>
    </xdr:from>
    <xdr:to>
      <xdr:col>11</xdr:col>
      <xdr:colOff>584200</xdr:colOff>
      <xdr:row>31</xdr:row>
      <xdr:rowOff>25400</xdr:rowOff>
    </xdr:to>
    <xdr:graphicFrame macro="">
      <xdr:nvGraphicFramePr>
        <xdr:cNvPr id="4" name="Chart 3">
          <a:extLst>
            <a:ext uri="{FF2B5EF4-FFF2-40B4-BE49-F238E27FC236}">
              <a16:creationId xmlns:a16="http://schemas.microsoft.com/office/drawing/2014/main" id="{00000000-0008-0000-0000-000004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8</xdr:col>
      <xdr:colOff>298450</xdr:colOff>
      <xdr:row>4</xdr:row>
      <xdr:rowOff>146050</xdr:rowOff>
    </xdr:from>
    <xdr:to>
      <xdr:col>16</xdr:col>
      <xdr:colOff>158750</xdr:colOff>
      <xdr:row>16</xdr:row>
      <xdr:rowOff>177800</xdr:rowOff>
    </xdr:to>
    <xdr:graphicFrame macro="">
      <xdr:nvGraphicFramePr>
        <xdr:cNvPr id="3" name="Chart 2">
          <a:extLst>
            <a:ext uri="{FF2B5EF4-FFF2-40B4-BE49-F238E27FC236}">
              <a16:creationId xmlns:a16="http://schemas.microsoft.com/office/drawing/2014/main" id="{00000000-0008-0000-01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16</xdr:col>
      <xdr:colOff>260350</xdr:colOff>
      <xdr:row>4</xdr:row>
      <xdr:rowOff>152400</xdr:rowOff>
    </xdr:from>
    <xdr:to>
      <xdr:col>20</xdr:col>
      <xdr:colOff>266700</xdr:colOff>
      <xdr:row>16</xdr:row>
      <xdr:rowOff>183850</xdr:rowOff>
    </xdr:to>
    <xdr:graphicFrame macro="">
      <xdr:nvGraphicFramePr>
        <xdr:cNvPr id="7" name="Chart 6">
          <a:extLst>
            <a:ext uri="{FF2B5EF4-FFF2-40B4-BE49-F238E27FC236}">
              <a16:creationId xmlns:a16="http://schemas.microsoft.com/office/drawing/2014/main" id="{00000000-0008-0000-01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22</xdr:col>
      <xdr:colOff>0</xdr:colOff>
      <xdr:row>4</xdr:row>
      <xdr:rowOff>0</xdr:rowOff>
    </xdr:from>
    <xdr:to>
      <xdr:col>25</xdr:col>
      <xdr:colOff>79809</xdr:colOff>
      <xdr:row>7</xdr:row>
      <xdr:rowOff>76204</xdr:rowOff>
    </xdr:to>
    <xdr:sp macro="" textlink="">
      <xdr:nvSpPr>
        <xdr:cNvPr id="4" name="Rounded Rectangle 3">
          <a:extLst>
            <a:ext uri="{FF2B5EF4-FFF2-40B4-BE49-F238E27FC236}">
              <a16:creationId xmlns:a16="http://schemas.microsoft.com/office/drawing/2014/main" id="{00000000-0008-0000-0100-000004000000}"/>
            </a:ext>
          </a:extLst>
        </xdr:cNvPr>
        <xdr:cNvSpPr/>
      </xdr:nvSpPr>
      <xdr:spPr>
        <a:xfrm>
          <a:off x="17989550" y="736600"/>
          <a:ext cx="1908609" cy="457204"/>
        </a:xfrm>
        <a:prstGeom prst="roundRect">
          <a:avLst/>
        </a:prstGeom>
      </xdr:spPr>
      <xdr:style>
        <a:lnRef idx="2">
          <a:schemeClr val="accent1"/>
        </a:lnRef>
        <a:fillRef idx="1">
          <a:schemeClr val="lt1"/>
        </a:fillRef>
        <a:effectRef idx="0">
          <a:schemeClr val="accent1"/>
        </a:effectRef>
        <a:fontRef idx="minor">
          <a:schemeClr val="dk1"/>
        </a:fontRef>
      </xdr:style>
      <xdr:txBody>
        <a:bodyPr wrap="square"/>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n-US" sz="1100" b="0" i="0" u="none" strike="noStrike">
              <a:solidFill>
                <a:srgbClr val="000000"/>
              </a:solidFill>
              <a:latin typeface="Calibri"/>
              <a:cs typeface="Calibri"/>
            </a:rPr>
            <a:t>Chingford/ Walthamstow</a:t>
          </a:r>
          <a:endParaRPr lang="en-US" sz="1000"/>
        </a:p>
      </xdr:txBody>
    </xdr:sp>
    <xdr:clientData/>
  </xdr:twoCellAnchor>
  <xdr:twoCellAnchor>
    <xdr:from>
      <xdr:col>8</xdr:col>
      <xdr:colOff>130974</xdr:colOff>
      <xdr:row>42</xdr:row>
      <xdr:rowOff>71997</xdr:rowOff>
    </xdr:from>
    <xdr:to>
      <xdr:col>19</xdr:col>
      <xdr:colOff>72259</xdr:colOff>
      <xdr:row>55</xdr:row>
      <xdr:rowOff>52030</xdr:rowOff>
    </xdr:to>
    <xdr:graphicFrame macro="">
      <xdr:nvGraphicFramePr>
        <xdr:cNvPr id="2" name="Chart 1">
          <a:extLst>
            <a:ext uri="{FF2B5EF4-FFF2-40B4-BE49-F238E27FC236}">
              <a16:creationId xmlns:a16="http://schemas.microsoft.com/office/drawing/2014/main" id="{00000000-0008-0000-01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xdr:col>
      <xdr:colOff>3980427</xdr:colOff>
      <xdr:row>41</xdr:row>
      <xdr:rowOff>117608</xdr:rowOff>
    </xdr:from>
    <xdr:to>
      <xdr:col>12</xdr:col>
      <xdr:colOff>401314</xdr:colOff>
      <xdr:row>56</xdr:row>
      <xdr:rowOff>61309</xdr:rowOff>
    </xdr:to>
    <xdr:graphicFrame macro="">
      <xdr:nvGraphicFramePr>
        <xdr:cNvPr id="5" name="Chart 4">
          <a:extLst>
            <a:ext uri="{FF2B5EF4-FFF2-40B4-BE49-F238E27FC236}">
              <a16:creationId xmlns:a16="http://schemas.microsoft.com/office/drawing/2014/main" id="{00000000-0008-0000-0100-000005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xdr:col>
      <xdr:colOff>317501</xdr:colOff>
      <xdr:row>42</xdr:row>
      <xdr:rowOff>137584</xdr:rowOff>
    </xdr:from>
    <xdr:to>
      <xdr:col>8</xdr:col>
      <xdr:colOff>53592</xdr:colOff>
      <xdr:row>59</xdr:row>
      <xdr:rowOff>67271</xdr:rowOff>
    </xdr:to>
    <xdr:graphicFrame macro="">
      <xdr:nvGraphicFramePr>
        <xdr:cNvPr id="10" name="Chart 9">
          <a:extLst>
            <a:ext uri="{FF2B5EF4-FFF2-40B4-BE49-F238E27FC236}">
              <a16:creationId xmlns:a16="http://schemas.microsoft.com/office/drawing/2014/main" id="{00000000-0008-0000-01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wsDr>
</file>

<file path=xl/drawings/drawing3.xml><?xml version="1.0" encoding="utf-8"?>
<c:userShapes xmlns:c="http://schemas.openxmlformats.org/drawingml/2006/chart">
  <cdr:relSizeAnchor xmlns:cdr="http://schemas.openxmlformats.org/drawingml/2006/chartDrawing">
    <cdr:from>
      <cdr:x>0.0134</cdr:x>
      <cdr:y>0.01818</cdr:y>
    </cdr:from>
    <cdr:to>
      <cdr:x>0.98525</cdr:x>
      <cdr:y>0.23636</cdr:y>
    </cdr:to>
    <cdr:grpSp>
      <cdr:nvGrpSpPr>
        <cdr:cNvPr id="4" name="Group 3">
          <a:extLst xmlns:a="http://schemas.openxmlformats.org/drawingml/2006/main">
            <a:ext uri="{FF2B5EF4-FFF2-40B4-BE49-F238E27FC236}">
              <a16:creationId xmlns:a16="http://schemas.microsoft.com/office/drawing/2014/main" id="{B932346E-B91A-4D98-8CDB-874EDF61D8FE}"/>
            </a:ext>
          </a:extLst>
        </cdr:cNvPr>
        <cdr:cNvGrpSpPr/>
      </cdr:nvGrpSpPr>
      <cdr:grpSpPr>
        <a:xfrm xmlns:a="http://schemas.openxmlformats.org/drawingml/2006/main">
          <a:off x="73858" y="42522"/>
          <a:ext cx="5356643" cy="510304"/>
          <a:chOff x="63500" y="38100"/>
          <a:chExt cx="4603750" cy="457207"/>
        </a:xfrm>
      </cdr:grpSpPr>
      <cdr:sp macro="" textlink="Sheet5!$E$4">
        <cdr:nvSpPr>
          <cdr:cNvPr id="2" name="Rounded Rectangle 1"/>
          <cdr:cNvSpPr/>
        </cdr:nvSpPr>
        <cdr:spPr>
          <a:xfrm xmlns:a="http://schemas.openxmlformats.org/drawingml/2006/main">
            <a:off x="63500" y="38100"/>
            <a:ext cx="2673350" cy="450850"/>
          </a:xfrm>
          <a:prstGeom xmlns:a="http://schemas.openxmlformats.org/drawingml/2006/main" prst="roundRect">
            <a:avLst/>
          </a:prstGeom>
        </cdr:spPr>
        <cdr:style>
          <a:lnRef xmlns:a="http://schemas.openxmlformats.org/drawingml/2006/main" idx="2">
            <a:schemeClr val="dk1"/>
          </a:lnRef>
          <a:fillRef xmlns:a="http://schemas.openxmlformats.org/drawingml/2006/main" idx="1">
            <a:schemeClr val="lt1"/>
          </a:fillRef>
          <a:effectRef xmlns:a="http://schemas.openxmlformats.org/drawingml/2006/main" idx="0">
            <a:schemeClr val="dk1"/>
          </a:effectRef>
          <a:fontRef xmlns:a="http://schemas.openxmlformats.org/drawingml/2006/main" idx="minor">
            <a:schemeClr val="dk1"/>
          </a:fontRef>
        </cdr:style>
        <cdr:txBody>
          <a:bodyPr xmlns:a="http://schemas.openxmlformats.org/drawingml/2006/main" vertOverflow="clip"/>
          <a:lstStyle xmlns:a="http://schemas.openxmlformats.org/drawingml/2006/main"/>
          <a:p xmlns:a="http://schemas.openxmlformats.org/drawingml/2006/main">
            <a:fld id="{C081EF8F-2D91-48AE-9201-49C5E7AEDF38}" type="TxLink">
              <a:rPr lang="en-US" sz="1000" b="0" i="0" u="none" strike="noStrike">
                <a:solidFill>
                  <a:srgbClr val="000000"/>
                </a:solidFill>
                <a:latin typeface="Calibri"/>
                <a:cs typeface="Calibri"/>
              </a:rPr>
              <a:pPr/>
              <a:t>The Microfaculty **</a:t>
            </a:fld>
            <a:endParaRPr lang="en-US" sz="1000"/>
          </a:p>
        </cdr:txBody>
      </cdr:sp>
      <cdr:sp macro="" textlink="Sheet5!$D$4">
        <cdr:nvSpPr>
          <cdr:cNvPr id="3" name="Rounded Rectangle 2"/>
          <cdr:cNvSpPr/>
        </cdr:nvSpPr>
        <cdr:spPr>
          <a:xfrm xmlns:a="http://schemas.openxmlformats.org/drawingml/2006/main">
            <a:off x="2851150" y="38100"/>
            <a:ext cx="1816100" cy="457207"/>
          </a:xfrm>
          <a:prstGeom xmlns:a="http://schemas.openxmlformats.org/drawingml/2006/main" prst="roundRect">
            <a:avLst/>
          </a:prstGeom>
        </cdr:spPr>
        <cdr:style>
          <a:lnRef xmlns:a="http://schemas.openxmlformats.org/drawingml/2006/main" idx="2">
            <a:schemeClr val="accent1"/>
          </a:lnRef>
          <a:fillRef xmlns:a="http://schemas.openxmlformats.org/drawingml/2006/main" idx="1">
            <a:schemeClr val="lt1"/>
          </a:fillRef>
          <a:effectRef xmlns:a="http://schemas.openxmlformats.org/drawingml/2006/main" idx="0">
            <a:schemeClr val="accent1"/>
          </a:effectRef>
          <a:fontRef xmlns:a="http://schemas.openxmlformats.org/drawingml/2006/main" idx="minor">
            <a:schemeClr val="dk1"/>
          </a:fontRef>
        </cdr:style>
        <cdr:txBody>
          <a:bodyPr xmlns:a="http://schemas.openxmlformats.org/drawingml/2006/main"/>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fld id="{E8CC96F3-C132-47E0-B55A-08C6E98D3D85}" type="TxLink">
              <a:rPr lang="en-US" sz="1100" b="0" i="0" u="none" strike="noStrike">
                <a:solidFill>
                  <a:srgbClr val="000000"/>
                </a:solidFill>
                <a:latin typeface="Calibri"/>
                <a:cs typeface="Calibri"/>
              </a:rPr>
              <a:pPr/>
              <a:t>Chingford/ Walthamstow</a:t>
            </a:fld>
            <a:endParaRPr lang="en-US" sz="1000"/>
          </a:p>
        </cdr:txBody>
      </cdr:sp>
    </cdr:grpSp>
  </cdr:relSizeAnchor>
</c:userShapes>
</file>

<file path=xl/drawings/drawing4.xml><?xml version="1.0" encoding="utf-8"?>
<c:userShapes xmlns:c="http://schemas.openxmlformats.org/drawingml/2006/chart">
  <cdr:relSizeAnchor xmlns:cdr="http://schemas.openxmlformats.org/drawingml/2006/chartDrawing">
    <cdr:from>
      <cdr:x>0.02078</cdr:x>
      <cdr:y>0.01618</cdr:y>
    </cdr:from>
    <cdr:to>
      <cdr:x>0.76364</cdr:x>
      <cdr:y>0.20065</cdr:y>
    </cdr:to>
    <cdr:sp macro="" textlink="Sheet5!$G$4">
      <cdr:nvSpPr>
        <cdr:cNvPr id="2" name="Rounded Rectangle 1"/>
        <cdr:cNvSpPr/>
      </cdr:nvSpPr>
      <cdr:spPr>
        <a:xfrm xmlns:a="http://schemas.openxmlformats.org/drawingml/2006/main">
          <a:off x="50800" y="31750"/>
          <a:ext cx="1816100" cy="361950"/>
        </a:xfrm>
        <a:prstGeom xmlns:a="http://schemas.openxmlformats.org/drawingml/2006/main" prst="roundRect">
          <a:avLst/>
        </a:prstGeom>
        <a:ln xmlns:a="http://schemas.openxmlformats.org/drawingml/2006/main">
          <a:solidFill>
            <a:schemeClr val="accent5">
              <a:lumMod val="75000"/>
            </a:schemeClr>
          </a:solidFill>
        </a:ln>
      </cdr:spPr>
      <cdr:style>
        <a:lnRef xmlns:a="http://schemas.openxmlformats.org/drawingml/2006/main" idx="2">
          <a:schemeClr val="dk1"/>
        </a:lnRef>
        <a:fillRef xmlns:a="http://schemas.openxmlformats.org/drawingml/2006/main" idx="1">
          <a:schemeClr val="lt1"/>
        </a:fillRef>
        <a:effectRef xmlns:a="http://schemas.openxmlformats.org/drawingml/2006/main" idx="0">
          <a:schemeClr val="dk1"/>
        </a:effectRef>
        <a:fontRef xmlns:a="http://schemas.openxmlformats.org/drawingml/2006/main" idx="minor">
          <a:schemeClr val="dk1"/>
        </a:fontRef>
      </cdr:style>
      <cdr:txBody>
        <a:bodyPr xmlns:a="http://schemas.openxmlformats.org/drawingml/2006/main"/>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fld id="{4A87E66A-FFEC-4E90-A98E-E11720317F79}" type="TxLink">
            <a:rPr lang="en-US" sz="1100" b="0" i="0" u="none" strike="noStrike">
              <a:solidFill>
                <a:srgbClr val="000000"/>
              </a:solidFill>
              <a:latin typeface="Calibri"/>
              <a:cs typeface="Calibri"/>
            </a:rPr>
            <a:pPr/>
            <a:t>Waltham Forest Total</a:t>
          </a:fld>
          <a:endParaRPr lang="en-US" sz="1000"/>
        </a:p>
      </cdr:txBody>
    </cdr:sp>
  </cdr:relSizeAnchor>
</c:userShapes>
</file>

<file path=xl/drawings/drawing5.xml><?xml version="1.0" encoding="utf-8"?>
<xdr:wsDr xmlns:xdr="http://schemas.openxmlformats.org/drawingml/2006/spreadsheetDrawing" xmlns:a="http://schemas.openxmlformats.org/drawingml/2006/main">
  <xdr:twoCellAnchor>
    <xdr:from>
      <xdr:col>13</xdr:col>
      <xdr:colOff>147580</xdr:colOff>
      <xdr:row>2</xdr:row>
      <xdr:rowOff>54665</xdr:rowOff>
    </xdr:from>
    <xdr:to>
      <xdr:col>17</xdr:col>
      <xdr:colOff>496095</xdr:colOff>
      <xdr:row>4</xdr:row>
      <xdr:rowOff>5333</xdr:rowOff>
    </xdr:to>
    <xdr:sp macro="" textlink="">
      <xdr:nvSpPr>
        <xdr:cNvPr id="7" name="Rounded Rectangle 6">
          <a:extLst>
            <a:ext uri="{FF2B5EF4-FFF2-40B4-BE49-F238E27FC236}">
              <a16:creationId xmlns:a16="http://schemas.microsoft.com/office/drawing/2014/main" id="{00000000-0008-0000-0200-000007000000}"/>
            </a:ext>
          </a:extLst>
        </xdr:cNvPr>
        <xdr:cNvSpPr/>
      </xdr:nvSpPr>
      <xdr:spPr>
        <a:xfrm>
          <a:off x="11071564" y="173728"/>
          <a:ext cx="2987734" cy="724574"/>
        </a:xfrm>
        <a:prstGeom prst="roundRect">
          <a:avLst/>
        </a:prstGeom>
        <a:noFill/>
        <a:ln w="19050">
          <a:solidFill>
            <a:schemeClr val="accent5">
              <a:lumMod val="50000"/>
            </a:schemeClr>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endParaRPr lang="en-GB" sz="1100">
            <a:ln w="38100">
              <a:solidFill>
                <a:schemeClr val="tx1"/>
              </a:solidFill>
              <a:prstDash val="dash"/>
            </a:ln>
            <a:noFill/>
          </a:endParaRPr>
        </a:p>
      </xdr:txBody>
    </xdr:sp>
    <xdr:clientData/>
  </xdr:twoCellAnchor>
  <mc:AlternateContent xmlns:mc="http://schemas.openxmlformats.org/markup-compatibility/2006">
    <mc:Choice xmlns:a14="http://schemas.microsoft.com/office/drawing/2010/main" Requires="a14">
      <xdr:twoCellAnchor editAs="oneCell">
        <xdr:from>
          <xdr:col>13</xdr:col>
          <xdr:colOff>276225</xdr:colOff>
          <xdr:row>2</xdr:row>
          <xdr:rowOff>171450</xdr:rowOff>
        </xdr:from>
        <xdr:to>
          <xdr:col>15</xdr:col>
          <xdr:colOff>742950</xdr:colOff>
          <xdr:row>2</xdr:row>
          <xdr:rowOff>485775</xdr:rowOff>
        </xdr:to>
        <xdr:sp macro="" textlink="">
          <xdr:nvSpPr>
            <xdr:cNvPr id="7171" name="ComboBox1" hidden="1">
              <a:extLst>
                <a:ext uri="{63B3BB69-23CF-44E3-9099-C40C66FF867C}">
                  <a14:compatExt spid="_x0000_s7171"/>
                </a:ext>
                <a:ext uri="{FF2B5EF4-FFF2-40B4-BE49-F238E27FC236}">
                  <a16:creationId xmlns:a16="http://schemas.microsoft.com/office/drawing/2014/main" id="{00000000-0008-0000-0200-000003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2</xdr:col>
      <xdr:colOff>304541</xdr:colOff>
      <xdr:row>13</xdr:row>
      <xdr:rowOff>117353</xdr:rowOff>
    </xdr:from>
    <xdr:to>
      <xdr:col>6</xdr:col>
      <xdr:colOff>6480</xdr:colOff>
      <xdr:row>25</xdr:row>
      <xdr:rowOff>137959</xdr:rowOff>
    </xdr:to>
    <xdr:grpSp>
      <xdr:nvGrpSpPr>
        <xdr:cNvPr id="3" name="Group 2">
          <a:extLst>
            <a:ext uri="{FF2B5EF4-FFF2-40B4-BE49-F238E27FC236}">
              <a16:creationId xmlns:a16="http://schemas.microsoft.com/office/drawing/2014/main" id="{00000000-0008-0000-0200-000003000000}"/>
            </a:ext>
          </a:extLst>
        </xdr:cNvPr>
        <xdr:cNvGrpSpPr/>
      </xdr:nvGrpSpPr>
      <xdr:grpSpPr>
        <a:xfrm>
          <a:off x="390266" y="3432053"/>
          <a:ext cx="5797939" cy="2306606"/>
          <a:chOff x="396348" y="3200546"/>
          <a:chExt cx="6090192" cy="2223979"/>
        </a:xfrm>
      </xdr:grpSpPr>
      <xdr:graphicFrame macro="">
        <xdr:nvGraphicFramePr>
          <xdr:cNvPr id="14" name="Chart 13">
            <a:extLst>
              <a:ext uri="{FF2B5EF4-FFF2-40B4-BE49-F238E27FC236}">
                <a16:creationId xmlns:a16="http://schemas.microsoft.com/office/drawing/2014/main" id="{00000000-0008-0000-0200-00000E000000}"/>
              </a:ext>
            </a:extLst>
          </xdr:cNvPr>
          <xdr:cNvGraphicFramePr>
            <a:graphicFrameLocks/>
          </xdr:cNvGraphicFramePr>
        </xdr:nvGraphicFramePr>
        <xdr:xfrm>
          <a:off x="396348" y="3204146"/>
          <a:ext cx="3921245" cy="2220379"/>
        </xdr:xfrm>
        <a:graphic>
          <a:graphicData uri="http://schemas.openxmlformats.org/drawingml/2006/chart">
            <c:chart xmlns:c="http://schemas.openxmlformats.org/drawingml/2006/chart" xmlns:r="http://schemas.openxmlformats.org/officeDocument/2006/relationships" r:id="rId1"/>
          </a:graphicData>
        </a:graphic>
      </xdr:graphicFrame>
      <xdr:graphicFrame macro="">
        <xdr:nvGraphicFramePr>
          <xdr:cNvPr id="16" name="Chart 15">
            <a:extLst>
              <a:ext uri="{FF2B5EF4-FFF2-40B4-BE49-F238E27FC236}">
                <a16:creationId xmlns:a16="http://schemas.microsoft.com/office/drawing/2014/main" id="{00000000-0008-0000-0200-000010000000}"/>
              </a:ext>
            </a:extLst>
          </xdr:cNvPr>
          <xdr:cNvGraphicFramePr>
            <a:graphicFrameLocks/>
          </xdr:cNvGraphicFramePr>
        </xdr:nvGraphicFramePr>
        <xdr:xfrm>
          <a:off x="4340453" y="3200546"/>
          <a:ext cx="2146087" cy="2105459"/>
        </xdr:xfrm>
        <a:graphic>
          <a:graphicData uri="http://schemas.openxmlformats.org/drawingml/2006/chart">
            <c:chart xmlns:c="http://schemas.openxmlformats.org/drawingml/2006/chart" xmlns:r="http://schemas.openxmlformats.org/officeDocument/2006/relationships" r:id="rId2"/>
          </a:graphicData>
        </a:graphic>
      </xdr:graphicFrame>
    </xdr:grpSp>
    <xdr:clientData/>
  </xdr:twoCellAnchor>
  <xdr:twoCellAnchor>
    <xdr:from>
      <xdr:col>2</xdr:col>
      <xdr:colOff>231382</xdr:colOff>
      <xdr:row>12</xdr:row>
      <xdr:rowOff>59661</xdr:rowOff>
    </xdr:from>
    <xdr:to>
      <xdr:col>5</xdr:col>
      <xdr:colOff>3549291</xdr:colOff>
      <xdr:row>26</xdr:row>
      <xdr:rowOff>103758</xdr:rowOff>
    </xdr:to>
    <xdr:sp macro="" textlink="">
      <xdr:nvSpPr>
        <xdr:cNvPr id="12" name="Rounded Rectangle 11">
          <a:extLst>
            <a:ext uri="{FF2B5EF4-FFF2-40B4-BE49-F238E27FC236}">
              <a16:creationId xmlns:a16="http://schemas.microsoft.com/office/drawing/2014/main" id="{00000000-0008-0000-0200-00000C000000}"/>
            </a:ext>
          </a:extLst>
        </xdr:cNvPr>
        <xdr:cNvSpPr/>
      </xdr:nvSpPr>
      <xdr:spPr>
        <a:xfrm>
          <a:off x="321029" y="3212249"/>
          <a:ext cx="5947556" cy="2658803"/>
        </a:xfrm>
        <a:prstGeom prst="roundRect">
          <a:avLst/>
        </a:prstGeom>
        <a:noFill/>
        <a:ln w="28575">
          <a:solidFill>
            <a:srgbClr val="B0DFE5"/>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lang="en-GB" sz="1100"/>
        </a:p>
      </xdr:txBody>
    </xdr:sp>
    <xdr:clientData/>
  </xdr:twoCellAnchor>
  <xdr:twoCellAnchor>
    <xdr:from>
      <xdr:col>5</xdr:col>
      <xdr:colOff>3594299</xdr:colOff>
      <xdr:row>11</xdr:row>
      <xdr:rowOff>22850</xdr:rowOff>
    </xdr:from>
    <xdr:to>
      <xdr:col>19</xdr:col>
      <xdr:colOff>279401</xdr:colOff>
      <xdr:row>27</xdr:row>
      <xdr:rowOff>104015</xdr:rowOff>
    </xdr:to>
    <xdr:graphicFrame macro="">
      <xdr:nvGraphicFramePr>
        <xdr:cNvPr id="19" name="Chart 18">
          <a:extLst>
            <a:ext uri="{FF2B5EF4-FFF2-40B4-BE49-F238E27FC236}">
              <a16:creationId xmlns:a16="http://schemas.microsoft.com/office/drawing/2014/main" id="{00000000-0008-0000-0200-00001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editAs="oneCell">
    <xdr:from>
      <xdr:col>23</xdr:col>
      <xdr:colOff>695476</xdr:colOff>
      <xdr:row>30</xdr:row>
      <xdr:rowOff>30239</xdr:rowOff>
    </xdr:from>
    <xdr:to>
      <xdr:col>26</xdr:col>
      <xdr:colOff>393094</xdr:colOff>
      <xdr:row>34</xdr:row>
      <xdr:rowOff>145829</xdr:rowOff>
    </xdr:to>
    <xdr:pic>
      <xdr:nvPicPr>
        <xdr:cNvPr id="10" name="Picture 9">
          <a:extLst>
            <a:ext uri="{FF2B5EF4-FFF2-40B4-BE49-F238E27FC236}">
              <a16:creationId xmlns:a16="http://schemas.microsoft.com/office/drawing/2014/main" id="{00000000-0008-0000-0200-00000A000000}"/>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tretch>
          <a:fillRect/>
        </a:stretch>
      </xdr:blipFill>
      <xdr:spPr>
        <a:xfrm>
          <a:off x="19579166" y="6697739"/>
          <a:ext cx="1950357" cy="901780"/>
        </a:xfrm>
        <a:prstGeom prst="rect">
          <a:avLst/>
        </a:prstGeom>
      </xdr:spPr>
    </xdr:pic>
    <xdr:clientData/>
  </xdr:twoCellAnchor>
  <xdr:twoCellAnchor editAs="oneCell">
    <xdr:from>
      <xdr:col>20</xdr:col>
      <xdr:colOff>461037</xdr:colOff>
      <xdr:row>16</xdr:row>
      <xdr:rowOff>19974</xdr:rowOff>
    </xdr:from>
    <xdr:to>
      <xdr:col>24</xdr:col>
      <xdr:colOff>392961</xdr:colOff>
      <xdr:row>24</xdr:row>
      <xdr:rowOff>34551</xdr:rowOff>
    </xdr:to>
    <xdr:pic>
      <xdr:nvPicPr>
        <xdr:cNvPr id="2" name="Picture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5"/>
        <a:stretch>
          <a:fillRect/>
        </a:stretch>
      </xdr:blipFill>
      <xdr:spPr>
        <a:xfrm>
          <a:off x="18054272" y="3919621"/>
          <a:ext cx="2905218" cy="1508695"/>
        </a:xfrm>
        <a:prstGeom prst="rect">
          <a:avLst/>
        </a:prstGeom>
      </xdr:spPr>
    </xdr:pic>
    <xdr:clientData/>
  </xdr:twoCellAnchor>
</xdr:wsDr>
</file>

<file path=xl/drawings/drawing6.xml><?xml version="1.0" encoding="utf-8"?>
<c:userShapes xmlns:c="http://schemas.openxmlformats.org/drawingml/2006/chart">
  <cdr:relSizeAnchor xmlns:cdr="http://schemas.openxmlformats.org/drawingml/2006/chartDrawing">
    <cdr:from>
      <cdr:x>0.01673</cdr:x>
      <cdr:y>0</cdr:y>
    </cdr:from>
    <cdr:to>
      <cdr:x>0.58107</cdr:x>
      <cdr:y>0.2124</cdr:y>
    </cdr:to>
    <cdr:sp macro="" textlink="Sheet5!$E$4">
      <cdr:nvSpPr>
        <cdr:cNvPr id="2" name="Rounded Rectangle 1"/>
        <cdr:cNvSpPr/>
      </cdr:nvSpPr>
      <cdr:spPr>
        <a:xfrm xmlns:a="http://schemas.openxmlformats.org/drawingml/2006/main">
          <a:off x="65602" y="0"/>
          <a:ext cx="2212916" cy="471600"/>
        </a:xfrm>
        <a:prstGeom xmlns:a="http://schemas.openxmlformats.org/drawingml/2006/main" prst="roundRect">
          <a:avLst/>
        </a:prstGeom>
        <a:ln xmlns:a="http://schemas.openxmlformats.org/drawingml/2006/main" w="19050">
          <a:solidFill>
            <a:srgbClr val="00B0F0"/>
          </a:solidFill>
        </a:ln>
      </cdr:spPr>
      <cdr:style>
        <a:lnRef xmlns:a="http://schemas.openxmlformats.org/drawingml/2006/main" idx="2">
          <a:schemeClr val="dk1"/>
        </a:lnRef>
        <a:fillRef xmlns:a="http://schemas.openxmlformats.org/drawingml/2006/main" idx="1">
          <a:schemeClr val="lt1"/>
        </a:fillRef>
        <a:effectRef xmlns:a="http://schemas.openxmlformats.org/drawingml/2006/main" idx="0">
          <a:schemeClr val="dk1"/>
        </a:effectRef>
        <a:fontRef xmlns:a="http://schemas.openxmlformats.org/drawingml/2006/main" idx="minor">
          <a:schemeClr val="dk1"/>
        </a:fontRef>
      </cdr:style>
      <cdr:txBody>
        <a:bodyPr xmlns:a="http://schemas.openxmlformats.org/drawingml/2006/main" vertOverflow="clip"/>
        <a:lstStyle xmlns:a="http://schemas.openxmlformats.org/drawingml/2006/main"/>
        <a:p xmlns:a="http://schemas.openxmlformats.org/drawingml/2006/main">
          <a:fld id="{C081EF8F-2D91-48AE-9201-49C5E7AEDF38}" type="TxLink">
            <a:rPr lang="en-US" sz="1000" b="1" i="0" u="none" strike="noStrike">
              <a:solidFill>
                <a:sysClr val="windowText" lastClr="000000"/>
              </a:solidFill>
              <a:latin typeface="Calibri"/>
              <a:cs typeface="Calibri"/>
            </a:rPr>
            <a:pPr/>
            <a:t>The Microfaculty **</a:t>
          </a:fld>
          <a:endParaRPr lang="en-US" sz="1000" b="1">
            <a:solidFill>
              <a:sysClr val="windowText" lastClr="000000"/>
            </a:solidFill>
          </a:endParaRPr>
        </a:p>
      </cdr:txBody>
    </cdr:sp>
  </cdr:relSizeAnchor>
  <cdr:relSizeAnchor xmlns:cdr="http://schemas.openxmlformats.org/drawingml/2006/chartDrawing">
    <cdr:from>
      <cdr:x>0.61362</cdr:x>
      <cdr:y>0</cdr:y>
    </cdr:from>
    <cdr:to>
      <cdr:x>0.997</cdr:x>
      <cdr:y>0.2124</cdr:y>
    </cdr:to>
    <cdr:sp macro="" textlink="Sheet5!$D$4">
      <cdr:nvSpPr>
        <cdr:cNvPr id="3" name="Rounded Rectangle 2"/>
        <cdr:cNvSpPr/>
      </cdr:nvSpPr>
      <cdr:spPr>
        <a:xfrm xmlns:a="http://schemas.openxmlformats.org/drawingml/2006/main">
          <a:off x="2406154" y="0"/>
          <a:ext cx="1503327" cy="471600"/>
        </a:xfrm>
        <a:prstGeom xmlns:a="http://schemas.openxmlformats.org/drawingml/2006/main" prst="roundRect">
          <a:avLst/>
        </a:prstGeom>
        <a:ln xmlns:a="http://schemas.openxmlformats.org/drawingml/2006/main" w="19050">
          <a:solidFill>
            <a:schemeClr val="bg1">
              <a:lumMod val="50000"/>
            </a:schemeClr>
          </a:solidFill>
        </a:ln>
      </cdr:spPr>
      <cdr:style>
        <a:lnRef xmlns:a="http://schemas.openxmlformats.org/drawingml/2006/main" idx="2">
          <a:schemeClr val="accent1"/>
        </a:lnRef>
        <a:fillRef xmlns:a="http://schemas.openxmlformats.org/drawingml/2006/main" idx="1">
          <a:schemeClr val="lt1"/>
        </a:fillRef>
        <a:effectRef xmlns:a="http://schemas.openxmlformats.org/drawingml/2006/main" idx="0">
          <a:schemeClr val="accent1"/>
        </a:effectRef>
        <a:fontRef xmlns:a="http://schemas.openxmlformats.org/drawingml/2006/main" idx="minor">
          <a:schemeClr val="dk1"/>
        </a:fontRef>
      </cdr:style>
      <cdr:txBody>
        <a:bodyPr xmlns:a="http://schemas.openxmlformats.org/drawingml/2006/main"/>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fld id="{E8CC96F3-C132-47E0-B55A-08C6E98D3D85}" type="TxLink">
            <a:rPr lang="en-US" sz="1100" b="1" i="0" u="none" strike="noStrike">
              <a:solidFill>
                <a:schemeClr val="bg1">
                  <a:lumMod val="50000"/>
                </a:schemeClr>
              </a:solidFill>
              <a:latin typeface="Calibri"/>
              <a:cs typeface="Calibri"/>
            </a:rPr>
            <a:pPr/>
            <a:t>Chingford/ Walthamstow</a:t>
          </a:fld>
          <a:endParaRPr lang="en-US" sz="1000" b="1">
            <a:solidFill>
              <a:schemeClr val="bg1">
                <a:lumMod val="50000"/>
              </a:schemeClr>
            </a:solidFill>
          </a:endParaRPr>
        </a:p>
      </cdr:txBody>
    </cdr:sp>
  </cdr:relSizeAnchor>
</c:userShapes>
</file>

<file path=xl/drawings/drawing7.xml><?xml version="1.0" encoding="utf-8"?>
<c:userShapes xmlns:c="http://schemas.openxmlformats.org/drawingml/2006/chart">
  <cdr:relSizeAnchor xmlns:cdr="http://schemas.openxmlformats.org/drawingml/2006/chartDrawing">
    <cdr:from>
      <cdr:x>0.02663</cdr:x>
      <cdr:y>0</cdr:y>
    </cdr:from>
    <cdr:to>
      <cdr:x>0.76949</cdr:x>
      <cdr:y>0.22399</cdr:y>
    </cdr:to>
    <cdr:sp macro="" textlink="Sheet5!$G$4">
      <cdr:nvSpPr>
        <cdr:cNvPr id="2" name="Rounded Rectangle 1"/>
        <cdr:cNvSpPr/>
      </cdr:nvSpPr>
      <cdr:spPr>
        <a:xfrm xmlns:a="http://schemas.openxmlformats.org/drawingml/2006/main">
          <a:off x="57150" y="0"/>
          <a:ext cx="1594242" cy="471600"/>
        </a:xfrm>
        <a:prstGeom xmlns:a="http://schemas.openxmlformats.org/drawingml/2006/main" prst="roundRect">
          <a:avLst/>
        </a:prstGeom>
        <a:ln xmlns:a="http://schemas.openxmlformats.org/drawingml/2006/main" w="19050">
          <a:solidFill>
            <a:schemeClr val="accent5">
              <a:lumMod val="75000"/>
            </a:schemeClr>
          </a:solidFill>
        </a:ln>
      </cdr:spPr>
      <cdr:style>
        <a:lnRef xmlns:a="http://schemas.openxmlformats.org/drawingml/2006/main" idx="2">
          <a:schemeClr val="dk1"/>
        </a:lnRef>
        <a:fillRef xmlns:a="http://schemas.openxmlformats.org/drawingml/2006/main" idx="1">
          <a:schemeClr val="lt1"/>
        </a:fillRef>
        <a:effectRef xmlns:a="http://schemas.openxmlformats.org/drawingml/2006/main" idx="0">
          <a:schemeClr val="dk1"/>
        </a:effectRef>
        <a:fontRef xmlns:a="http://schemas.openxmlformats.org/drawingml/2006/main" idx="minor">
          <a:schemeClr val="dk1"/>
        </a:fontRef>
      </cdr:style>
      <cdr:txBody>
        <a:bodyPr xmlns:a="http://schemas.openxmlformats.org/drawingml/2006/main"/>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fld id="{4A87E66A-FFEC-4E90-A98E-E11720317F79}" type="TxLink">
            <a:rPr lang="en-US" sz="1100" b="1" i="0" u="none" strike="noStrike">
              <a:solidFill>
                <a:schemeClr val="accent5">
                  <a:lumMod val="75000"/>
                </a:schemeClr>
              </a:solidFill>
              <a:latin typeface="Calibri"/>
              <a:cs typeface="Calibri"/>
            </a:rPr>
            <a:pPr/>
            <a:t>Waltham Forest Total</a:t>
          </a:fld>
          <a:endParaRPr lang="en-US" sz="1000" b="1">
            <a:solidFill>
              <a:schemeClr val="accent5">
                <a:lumMod val="75000"/>
              </a:schemeClr>
            </a:solidFill>
          </a:endParaRPr>
        </a:p>
      </cdr:txBody>
    </cdr:sp>
  </cdr:relSizeAnchor>
</c:userShapes>
</file>

<file path=xl/drawings/drawing8.xml><?xml version="1.0" encoding="utf-8"?>
<xdr:wsDr xmlns:xdr="http://schemas.openxmlformats.org/drawingml/2006/spreadsheetDrawing" xmlns:a="http://schemas.openxmlformats.org/drawingml/2006/main">
  <xdr:twoCellAnchor>
    <xdr:from>
      <xdr:col>6</xdr:col>
      <xdr:colOff>617363</xdr:colOff>
      <xdr:row>0</xdr:row>
      <xdr:rowOff>62337</xdr:rowOff>
    </xdr:from>
    <xdr:to>
      <xdr:col>11</xdr:col>
      <xdr:colOff>170961</xdr:colOff>
      <xdr:row>2</xdr:row>
      <xdr:rowOff>229306</xdr:rowOff>
    </xdr:to>
    <xdr:sp macro="" textlink="">
      <xdr:nvSpPr>
        <xdr:cNvPr id="2" name="Rounded Rectangle 1">
          <a:extLst>
            <a:ext uri="{FF2B5EF4-FFF2-40B4-BE49-F238E27FC236}">
              <a16:creationId xmlns:a16="http://schemas.microsoft.com/office/drawing/2014/main" id="{00000000-0008-0000-0400-000002000000}"/>
            </a:ext>
          </a:extLst>
        </xdr:cNvPr>
        <xdr:cNvSpPr/>
      </xdr:nvSpPr>
      <xdr:spPr>
        <a:xfrm>
          <a:off x="6967363" y="62337"/>
          <a:ext cx="2966723" cy="532094"/>
        </a:xfrm>
        <a:prstGeom prst="roundRect">
          <a:avLst/>
        </a:prstGeom>
        <a:noFill/>
        <a:ln w="19050">
          <a:solidFill>
            <a:schemeClr val="accent5">
              <a:lumMod val="50000"/>
            </a:schemeClr>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endParaRPr lang="en-GB" sz="1100">
            <a:ln w="38100">
              <a:solidFill>
                <a:schemeClr val="tx1"/>
              </a:solidFill>
              <a:prstDash val="dash"/>
            </a:ln>
          </a:endParaRPr>
        </a:p>
      </xdr:txBody>
    </xdr:sp>
    <xdr:clientData/>
  </xdr:twoCellAnchor>
  <mc:AlternateContent xmlns:mc="http://schemas.openxmlformats.org/markup-compatibility/2006">
    <mc:Choice xmlns:a14="http://schemas.microsoft.com/office/drawing/2010/main" Requires="a14">
      <xdr:twoCellAnchor editAs="oneCell">
        <xdr:from>
          <xdr:col>6</xdr:col>
          <xdr:colOff>790575</xdr:colOff>
          <xdr:row>0</xdr:row>
          <xdr:rowOff>142875</xdr:rowOff>
        </xdr:from>
        <xdr:to>
          <xdr:col>9</xdr:col>
          <xdr:colOff>323850</xdr:colOff>
          <xdr:row>2</xdr:row>
          <xdr:rowOff>76200</xdr:rowOff>
        </xdr:to>
        <xdr:sp macro="" textlink="">
          <xdr:nvSpPr>
            <xdr:cNvPr id="3073" name="ComboBox1" hidden="1">
              <a:extLst>
                <a:ext uri="{63B3BB69-23CF-44E3-9099-C40C66FF867C}">
                  <a14:compatExt spid="_x0000_s3073"/>
                </a:ext>
                <a:ext uri="{FF2B5EF4-FFF2-40B4-BE49-F238E27FC236}">
                  <a16:creationId xmlns:a16="http://schemas.microsoft.com/office/drawing/2014/main" id="{00000000-0008-0000-0400-0000010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1</xdr:col>
      <xdr:colOff>45567</xdr:colOff>
      <xdr:row>0</xdr:row>
      <xdr:rowOff>43980</xdr:rowOff>
    </xdr:from>
    <xdr:to>
      <xdr:col>5</xdr:col>
      <xdr:colOff>523287</xdr:colOff>
      <xdr:row>2</xdr:row>
      <xdr:rowOff>217546</xdr:rowOff>
    </xdr:to>
    <xdr:sp macro="" textlink="">
      <xdr:nvSpPr>
        <xdr:cNvPr id="4" name="Rounded Rectangle 3">
          <a:extLst>
            <a:ext uri="{FF2B5EF4-FFF2-40B4-BE49-F238E27FC236}">
              <a16:creationId xmlns:a16="http://schemas.microsoft.com/office/drawing/2014/main" id="{00000000-0008-0000-0400-000004000000}"/>
            </a:ext>
          </a:extLst>
        </xdr:cNvPr>
        <xdr:cNvSpPr/>
      </xdr:nvSpPr>
      <xdr:spPr>
        <a:xfrm>
          <a:off x="45567" y="43980"/>
          <a:ext cx="6480822" cy="538103"/>
        </a:xfrm>
        <a:prstGeom prst="roundRect">
          <a:avLst/>
        </a:prstGeom>
        <a:noFill/>
        <a:ln w="19050">
          <a:prstDash val="sysDash"/>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r>
            <a:rPr lang="en-GB" sz="2000" b="1">
              <a:solidFill>
                <a:srgbClr val="002060"/>
              </a:solidFill>
            </a:rPr>
            <a:t>Waltham Forest : Long Term Condition (SNS) 2021 - 2022</a:t>
          </a:r>
        </a:p>
        <a:p>
          <a:pPr algn="l"/>
          <a:endParaRPr lang="en-GB" sz="2000">
            <a:solidFill>
              <a:srgbClr val="002060"/>
            </a:solidFill>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4</xdr:col>
      <xdr:colOff>0</xdr:colOff>
      <xdr:row>13</xdr:row>
      <xdr:rowOff>0</xdr:rowOff>
    </xdr:from>
    <xdr:to>
      <xdr:col>15</xdr:col>
      <xdr:colOff>235121</xdr:colOff>
      <xdr:row>27</xdr:row>
      <xdr:rowOff>117268</xdr:rowOff>
    </xdr:to>
    <xdr:graphicFrame macro="">
      <xdr:nvGraphicFramePr>
        <xdr:cNvPr id="3" name="Chart 2">
          <a:extLst>
            <a:ext uri="{FF2B5EF4-FFF2-40B4-BE49-F238E27FC236}">
              <a16:creationId xmlns:a16="http://schemas.microsoft.com/office/drawing/2014/main" id="{00000000-0008-0000-05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0.xml><?xml version="1.0" encoding="utf-8"?>
<xdr:wsDr xmlns:xdr="http://schemas.openxmlformats.org/drawingml/2006/spreadsheetDrawing" xmlns:a="http://schemas.openxmlformats.org/drawingml/2006/main">
  <xdr:twoCellAnchor>
    <xdr:from>
      <xdr:col>0</xdr:col>
      <xdr:colOff>70908</xdr:colOff>
      <xdr:row>0</xdr:row>
      <xdr:rowOff>37043</xdr:rowOff>
    </xdr:from>
    <xdr:to>
      <xdr:col>4</xdr:col>
      <xdr:colOff>10584</xdr:colOff>
      <xdr:row>1</xdr:row>
      <xdr:rowOff>158750</xdr:rowOff>
    </xdr:to>
    <xdr:sp macro="" textlink="">
      <xdr:nvSpPr>
        <xdr:cNvPr id="2" name="Rounded Rectangle 3">
          <a:extLst>
            <a:ext uri="{FF2B5EF4-FFF2-40B4-BE49-F238E27FC236}">
              <a16:creationId xmlns:a16="http://schemas.microsoft.com/office/drawing/2014/main" id="{00000000-0008-0000-0800-000002000000}"/>
            </a:ext>
          </a:extLst>
        </xdr:cNvPr>
        <xdr:cNvSpPr/>
      </xdr:nvSpPr>
      <xdr:spPr>
        <a:xfrm>
          <a:off x="70908" y="37043"/>
          <a:ext cx="5189009" cy="312207"/>
        </a:xfrm>
        <a:prstGeom prst="roundRect">
          <a:avLst/>
        </a:prstGeom>
        <a:noFill/>
        <a:ln w="19050">
          <a:prstDash val="sysDash"/>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r>
            <a:rPr lang="en-GB" sz="1600" b="1">
              <a:solidFill>
                <a:srgbClr val="002060"/>
              </a:solidFill>
            </a:rPr>
            <a:t>Waltham Forest : Long Term Condition (SNS) 2021 - 2022</a:t>
          </a:r>
        </a:p>
        <a:p>
          <a:pPr algn="l"/>
          <a:endParaRPr lang="en-GB" sz="1600">
            <a:solidFill>
              <a:srgbClr val="002060"/>
            </a:solidFill>
          </a:endParaRPr>
        </a:p>
      </xdr:txBody>
    </xdr:sp>
    <xdr:clientData/>
  </xdr:twoCellAnchor>
  <mc:AlternateContent xmlns:mc="http://schemas.openxmlformats.org/markup-compatibility/2006">
    <mc:Choice xmlns:a14="http://schemas.microsoft.com/office/drawing/2010/main" Requires="a14">
      <xdr:twoCellAnchor editAs="oneCell">
        <xdr:from>
          <xdr:col>4</xdr:col>
          <xdr:colOff>657225</xdr:colOff>
          <xdr:row>0</xdr:row>
          <xdr:rowOff>76200</xdr:rowOff>
        </xdr:from>
        <xdr:to>
          <xdr:col>5</xdr:col>
          <xdr:colOff>819150</xdr:colOff>
          <xdr:row>1</xdr:row>
          <xdr:rowOff>161925</xdr:rowOff>
        </xdr:to>
        <xdr:sp macro="" textlink="">
          <xdr:nvSpPr>
            <xdr:cNvPr id="13313" name="ComboBox1" hidden="1">
              <a:extLst>
                <a:ext uri="{63B3BB69-23CF-44E3-9099-C40C66FF867C}">
                  <a14:compatExt spid="_x0000_s13313"/>
                </a:ext>
                <a:ext uri="{FF2B5EF4-FFF2-40B4-BE49-F238E27FC236}">
                  <a16:creationId xmlns:a16="http://schemas.microsoft.com/office/drawing/2014/main" id="{00000000-0008-0000-0800-0000013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1</xdr:col>
      <xdr:colOff>2328334</xdr:colOff>
      <xdr:row>3</xdr:row>
      <xdr:rowOff>52918</xdr:rowOff>
    </xdr:from>
    <xdr:to>
      <xdr:col>7</xdr:col>
      <xdr:colOff>10584</xdr:colOff>
      <xdr:row>8</xdr:row>
      <xdr:rowOff>361951</xdr:rowOff>
    </xdr:to>
    <xdr:graphicFrame macro="">
      <xdr:nvGraphicFramePr>
        <xdr:cNvPr id="13" name="Chart 12">
          <a:extLst>
            <a:ext uri="{FF2B5EF4-FFF2-40B4-BE49-F238E27FC236}">
              <a16:creationId xmlns:a16="http://schemas.microsoft.com/office/drawing/2014/main" id="{00000000-0008-0000-08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16932</xdr:colOff>
      <xdr:row>2</xdr:row>
      <xdr:rowOff>96308</xdr:rowOff>
    </xdr:from>
    <xdr:to>
      <xdr:col>1</xdr:col>
      <xdr:colOff>2264833</xdr:colOff>
      <xdr:row>9</xdr:row>
      <xdr:rowOff>31750</xdr:rowOff>
    </xdr:to>
    <mc:AlternateContent xmlns:mc="http://schemas.openxmlformats.org/markup-compatibility/2006" xmlns:a14="http://schemas.microsoft.com/office/drawing/2010/main">
      <mc:Choice Requires="a14">
        <xdr:graphicFrame macro="">
          <xdr:nvGraphicFramePr>
            <xdr:cNvPr id="14" name="Practice">
              <a:extLst>
                <a:ext uri="{FF2B5EF4-FFF2-40B4-BE49-F238E27FC236}">
                  <a16:creationId xmlns:a16="http://schemas.microsoft.com/office/drawing/2014/main" id="{00000000-0008-0000-0800-00000E000000}"/>
                </a:ext>
              </a:extLst>
            </xdr:cNvPr>
            <xdr:cNvGraphicFramePr/>
          </xdr:nvGraphicFramePr>
          <xdr:xfrm>
            <a:off x="0" y="0"/>
            <a:ext cx="0" cy="0"/>
          </xdr:xfrm>
          <a:graphic>
            <a:graphicData uri="http://schemas.microsoft.com/office/drawing/2010/slicer">
              <sle:slicer xmlns:sle="http://schemas.microsoft.com/office/drawing/2010/slicer" name="Practice"/>
            </a:graphicData>
          </a:graphic>
        </xdr:graphicFrame>
      </mc:Choice>
      <mc:Fallback xmlns="">
        <xdr:sp macro="" textlink="">
          <xdr:nvSpPr>
            <xdr:cNvPr id="0" name=""/>
            <xdr:cNvSpPr>
              <a:spLocks noTextEdit="1"/>
            </xdr:cNvSpPr>
          </xdr:nvSpPr>
          <xdr:spPr>
            <a:xfrm>
              <a:off x="122765" y="487891"/>
              <a:ext cx="2247901" cy="3110442"/>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7</xdr:col>
      <xdr:colOff>179914</xdr:colOff>
      <xdr:row>3</xdr:row>
      <xdr:rowOff>21167</xdr:rowOff>
    </xdr:from>
    <xdr:to>
      <xdr:col>13</xdr:col>
      <xdr:colOff>1058331</xdr:colOff>
      <xdr:row>8</xdr:row>
      <xdr:rowOff>330200</xdr:rowOff>
    </xdr:to>
    <xdr:graphicFrame macro="">
      <xdr:nvGraphicFramePr>
        <xdr:cNvPr id="16" name="Chart 15">
          <a:extLst>
            <a:ext uri="{FF2B5EF4-FFF2-40B4-BE49-F238E27FC236}">
              <a16:creationId xmlns:a16="http://schemas.microsoft.com/office/drawing/2014/main" id="{00000000-0008-0000-0800-000010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4</xdr:col>
      <xdr:colOff>592667</xdr:colOff>
      <xdr:row>0</xdr:row>
      <xdr:rowOff>21168</xdr:rowOff>
    </xdr:from>
    <xdr:to>
      <xdr:col>6</xdr:col>
      <xdr:colOff>423334</xdr:colOff>
      <xdr:row>1</xdr:row>
      <xdr:rowOff>185208</xdr:rowOff>
    </xdr:to>
    <xdr:sp macro="" textlink="">
      <xdr:nvSpPr>
        <xdr:cNvPr id="17" name="Rounded Rectangle 3">
          <a:extLst>
            <a:ext uri="{FF2B5EF4-FFF2-40B4-BE49-F238E27FC236}">
              <a16:creationId xmlns:a16="http://schemas.microsoft.com/office/drawing/2014/main" id="{00000000-0008-0000-0800-000011000000}"/>
            </a:ext>
          </a:extLst>
        </xdr:cNvPr>
        <xdr:cNvSpPr/>
      </xdr:nvSpPr>
      <xdr:spPr>
        <a:xfrm>
          <a:off x="5842000" y="21168"/>
          <a:ext cx="2688167" cy="354540"/>
        </a:xfrm>
        <a:prstGeom prst="roundRect">
          <a:avLst/>
        </a:prstGeom>
        <a:noFill/>
        <a:ln w="19050">
          <a:solidFill>
            <a:schemeClr val="bg1"/>
          </a:solidFill>
          <a:prstDash val="sysDash"/>
        </a:ln>
      </xdr:spPr>
      <xdr:style>
        <a:lnRef idx="2">
          <a:schemeClr val="accent1"/>
        </a:lnRef>
        <a:fillRef idx="1">
          <a:schemeClr val="lt1"/>
        </a:fillRef>
        <a:effectRef idx="0">
          <a:schemeClr val="accent1"/>
        </a:effectRef>
        <a:fontRef idx="minor">
          <a:schemeClr val="dk1"/>
        </a:fontRef>
      </xdr:style>
      <xdr:txBody>
        <a:bodyPr vertOverflow="clip" horzOverflow="clip" rtlCol="0" anchor="b"/>
        <a:lstStyle/>
        <a:p>
          <a:pPr algn="r"/>
          <a:r>
            <a:rPr lang="en-GB" sz="1600" b="1">
              <a:solidFill>
                <a:srgbClr val="002060"/>
              </a:solidFill>
            </a:rPr>
            <a:t>&lt;&lt; Select</a:t>
          </a:r>
          <a:r>
            <a:rPr lang="en-GB" sz="1600" b="1" baseline="0">
              <a:solidFill>
                <a:srgbClr val="002060"/>
              </a:solidFill>
            </a:rPr>
            <a:t> Date</a:t>
          </a:r>
          <a:endParaRPr lang="en-GB" sz="1600" b="1">
            <a:solidFill>
              <a:srgbClr val="002060"/>
            </a:solidFill>
          </a:endParaRPr>
        </a:p>
        <a:p>
          <a:pPr algn="r"/>
          <a:endParaRPr lang="en-GB" sz="1600">
            <a:solidFill>
              <a:srgbClr val="002060"/>
            </a:solidFill>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70908</xdr:colOff>
      <xdr:row>0</xdr:row>
      <xdr:rowOff>37043</xdr:rowOff>
    </xdr:from>
    <xdr:to>
      <xdr:col>4</xdr:col>
      <xdr:colOff>10584</xdr:colOff>
      <xdr:row>1</xdr:row>
      <xdr:rowOff>158750</xdr:rowOff>
    </xdr:to>
    <xdr:sp macro="" textlink="">
      <xdr:nvSpPr>
        <xdr:cNvPr id="2" name="Rounded Rectangle 3">
          <a:extLst>
            <a:ext uri="{FF2B5EF4-FFF2-40B4-BE49-F238E27FC236}">
              <a16:creationId xmlns:a16="http://schemas.microsoft.com/office/drawing/2014/main" id="{00000000-0008-0000-0900-000002000000}"/>
            </a:ext>
          </a:extLst>
        </xdr:cNvPr>
        <xdr:cNvSpPr/>
      </xdr:nvSpPr>
      <xdr:spPr>
        <a:xfrm>
          <a:off x="70908" y="37043"/>
          <a:ext cx="5187951" cy="312207"/>
        </a:xfrm>
        <a:prstGeom prst="roundRect">
          <a:avLst/>
        </a:prstGeom>
        <a:noFill/>
        <a:ln w="19050">
          <a:prstDash val="sysDash"/>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r>
            <a:rPr lang="en-GB" sz="1600" b="1">
              <a:solidFill>
                <a:srgbClr val="002060"/>
              </a:solidFill>
            </a:rPr>
            <a:t>Waltham Forest : Long Term Condition (SNS) 2021 - 2022</a:t>
          </a:r>
        </a:p>
        <a:p>
          <a:pPr algn="l"/>
          <a:endParaRPr lang="en-GB" sz="1600">
            <a:solidFill>
              <a:srgbClr val="002060"/>
            </a:solidFill>
          </a:endParaRPr>
        </a:p>
      </xdr:txBody>
    </xdr:sp>
    <xdr:clientData/>
  </xdr:twoCellAnchor>
  <mc:AlternateContent xmlns:mc="http://schemas.openxmlformats.org/markup-compatibility/2006">
    <mc:Choice xmlns:a14="http://schemas.microsoft.com/office/drawing/2010/main" Requires="a14">
      <xdr:twoCellAnchor editAs="oneCell">
        <xdr:from>
          <xdr:col>4</xdr:col>
          <xdr:colOff>657225</xdr:colOff>
          <xdr:row>0</xdr:row>
          <xdr:rowOff>76200</xdr:rowOff>
        </xdr:from>
        <xdr:to>
          <xdr:col>5</xdr:col>
          <xdr:colOff>819150</xdr:colOff>
          <xdr:row>1</xdr:row>
          <xdr:rowOff>161925</xdr:rowOff>
        </xdr:to>
        <xdr:sp macro="" textlink="">
          <xdr:nvSpPr>
            <xdr:cNvPr id="18433" name="ComboBox1" hidden="1">
              <a:extLst>
                <a:ext uri="{63B3BB69-23CF-44E3-9099-C40C66FF867C}">
                  <a14:compatExt spid="_x0000_s18433"/>
                </a:ext>
                <a:ext uri="{FF2B5EF4-FFF2-40B4-BE49-F238E27FC236}">
                  <a16:creationId xmlns:a16="http://schemas.microsoft.com/office/drawing/2014/main" id="{00000000-0008-0000-0900-0000014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4</xdr:col>
      <xdr:colOff>592667</xdr:colOff>
      <xdr:row>0</xdr:row>
      <xdr:rowOff>21168</xdr:rowOff>
    </xdr:from>
    <xdr:to>
      <xdr:col>6</xdr:col>
      <xdr:colOff>423334</xdr:colOff>
      <xdr:row>1</xdr:row>
      <xdr:rowOff>185208</xdr:rowOff>
    </xdr:to>
    <xdr:sp macro="" textlink="">
      <xdr:nvSpPr>
        <xdr:cNvPr id="7" name="Rounded Rectangle 3">
          <a:extLst>
            <a:ext uri="{FF2B5EF4-FFF2-40B4-BE49-F238E27FC236}">
              <a16:creationId xmlns:a16="http://schemas.microsoft.com/office/drawing/2014/main" id="{00000000-0008-0000-0900-000007000000}"/>
            </a:ext>
          </a:extLst>
        </xdr:cNvPr>
        <xdr:cNvSpPr/>
      </xdr:nvSpPr>
      <xdr:spPr>
        <a:xfrm>
          <a:off x="5840942" y="21168"/>
          <a:ext cx="2688167" cy="354540"/>
        </a:xfrm>
        <a:prstGeom prst="roundRect">
          <a:avLst/>
        </a:prstGeom>
        <a:noFill/>
        <a:ln w="19050">
          <a:solidFill>
            <a:schemeClr val="bg1"/>
          </a:solidFill>
          <a:prstDash val="sysDash"/>
        </a:ln>
      </xdr:spPr>
      <xdr:style>
        <a:lnRef idx="2">
          <a:schemeClr val="accent1"/>
        </a:lnRef>
        <a:fillRef idx="1">
          <a:schemeClr val="lt1"/>
        </a:fillRef>
        <a:effectRef idx="0">
          <a:schemeClr val="accent1"/>
        </a:effectRef>
        <a:fontRef idx="minor">
          <a:schemeClr val="dk1"/>
        </a:fontRef>
      </xdr:style>
      <xdr:txBody>
        <a:bodyPr vertOverflow="clip" horzOverflow="clip" rtlCol="0" anchor="b"/>
        <a:lstStyle/>
        <a:p>
          <a:pPr algn="r"/>
          <a:r>
            <a:rPr lang="en-GB" sz="1600" b="1">
              <a:solidFill>
                <a:srgbClr val="002060"/>
              </a:solidFill>
            </a:rPr>
            <a:t>&lt;&lt; Select</a:t>
          </a:r>
          <a:r>
            <a:rPr lang="en-GB" sz="1600" b="1" baseline="0">
              <a:solidFill>
                <a:srgbClr val="002060"/>
              </a:solidFill>
            </a:rPr>
            <a:t> Date</a:t>
          </a:r>
          <a:endParaRPr lang="en-GB" sz="1600" b="1">
            <a:solidFill>
              <a:srgbClr val="002060"/>
            </a:solidFill>
          </a:endParaRPr>
        </a:p>
        <a:p>
          <a:pPr algn="r"/>
          <a:endParaRPr lang="en-GB" sz="1600">
            <a:solidFill>
              <a:srgbClr val="002060"/>
            </a:solidFill>
          </a:endParaRPr>
        </a:p>
      </xdr:txBody>
    </xdr:sp>
    <xdr:clientData/>
  </xdr:twoCellAnchor>
  <xdr:twoCellAnchor>
    <xdr:from>
      <xdr:col>1</xdr:col>
      <xdr:colOff>3407832</xdr:colOff>
      <xdr:row>2</xdr:row>
      <xdr:rowOff>116416</xdr:rowOff>
    </xdr:from>
    <xdr:to>
      <xdr:col>6</xdr:col>
      <xdr:colOff>433917</xdr:colOff>
      <xdr:row>8</xdr:row>
      <xdr:rowOff>171449</xdr:rowOff>
    </xdr:to>
    <xdr:graphicFrame macro="">
      <xdr:nvGraphicFramePr>
        <xdr:cNvPr id="5" name="Chart 4">
          <a:extLst>
            <a:ext uri="{FF2B5EF4-FFF2-40B4-BE49-F238E27FC236}">
              <a16:creationId xmlns:a16="http://schemas.microsoft.com/office/drawing/2014/main" id="{00000000-0008-0000-09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10582</xdr:colOff>
      <xdr:row>2</xdr:row>
      <xdr:rowOff>84666</xdr:rowOff>
    </xdr:from>
    <xdr:to>
      <xdr:col>1</xdr:col>
      <xdr:colOff>2444749</xdr:colOff>
      <xdr:row>9</xdr:row>
      <xdr:rowOff>52917</xdr:rowOff>
    </xdr:to>
    <mc:AlternateContent xmlns:mc="http://schemas.openxmlformats.org/markup-compatibility/2006" xmlns:a14="http://schemas.microsoft.com/office/drawing/2010/main">
      <mc:Choice Requires="a14">
        <xdr:graphicFrame macro="">
          <xdr:nvGraphicFramePr>
            <xdr:cNvPr id="6" name="Practice 1">
              <a:extLst>
                <a:ext uri="{FF2B5EF4-FFF2-40B4-BE49-F238E27FC236}">
                  <a16:creationId xmlns:a16="http://schemas.microsoft.com/office/drawing/2014/main" id="{00000000-0008-0000-0900-000006000000}"/>
                </a:ext>
              </a:extLst>
            </xdr:cNvPr>
            <xdr:cNvGraphicFramePr/>
          </xdr:nvGraphicFramePr>
          <xdr:xfrm>
            <a:off x="0" y="0"/>
            <a:ext cx="0" cy="0"/>
          </xdr:xfrm>
          <a:graphic>
            <a:graphicData uri="http://schemas.microsoft.com/office/drawing/2010/slicer">
              <sle:slicer xmlns:sle="http://schemas.microsoft.com/office/drawing/2010/slicer" name="Practice 1"/>
            </a:graphicData>
          </a:graphic>
        </xdr:graphicFrame>
      </mc:Choice>
      <mc:Fallback xmlns="">
        <xdr:sp macro="" textlink="">
          <xdr:nvSpPr>
            <xdr:cNvPr id="0" name=""/>
            <xdr:cNvSpPr>
              <a:spLocks noTextEdit="1"/>
            </xdr:cNvSpPr>
          </xdr:nvSpPr>
          <xdr:spPr>
            <a:xfrm>
              <a:off x="116415" y="476249"/>
              <a:ext cx="2434167" cy="314325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6</xdr:col>
      <xdr:colOff>772585</xdr:colOff>
      <xdr:row>2</xdr:row>
      <xdr:rowOff>127000</xdr:rowOff>
    </xdr:from>
    <xdr:to>
      <xdr:col>10</xdr:col>
      <xdr:colOff>603251</xdr:colOff>
      <xdr:row>8</xdr:row>
      <xdr:rowOff>182033</xdr:rowOff>
    </xdr:to>
    <xdr:graphicFrame macro="">
      <xdr:nvGraphicFramePr>
        <xdr:cNvPr id="8" name="Chart 7">
          <a:extLst>
            <a:ext uri="{FF2B5EF4-FFF2-40B4-BE49-F238E27FC236}">
              <a16:creationId xmlns:a16="http://schemas.microsoft.com/office/drawing/2014/main" id="{00000000-0008-0000-09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10</xdr:col>
      <xdr:colOff>518583</xdr:colOff>
      <xdr:row>2</xdr:row>
      <xdr:rowOff>127000</xdr:rowOff>
    </xdr:from>
    <xdr:to>
      <xdr:col>15</xdr:col>
      <xdr:colOff>391583</xdr:colOff>
      <xdr:row>8</xdr:row>
      <xdr:rowOff>182033</xdr:rowOff>
    </xdr:to>
    <xdr:graphicFrame macro="">
      <xdr:nvGraphicFramePr>
        <xdr:cNvPr id="9" name="Chart 8">
          <a:extLst>
            <a:ext uri="{FF2B5EF4-FFF2-40B4-BE49-F238E27FC236}">
              <a16:creationId xmlns:a16="http://schemas.microsoft.com/office/drawing/2014/main" id="{00000000-0008-0000-09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2.xml><?xml version="1.0" encoding="utf-8"?>
<xdr:wsDr xmlns:xdr="http://schemas.openxmlformats.org/drawingml/2006/spreadsheetDrawing" xmlns:a="http://schemas.openxmlformats.org/drawingml/2006/main">
  <xdr:twoCellAnchor>
    <xdr:from>
      <xdr:col>0</xdr:col>
      <xdr:colOff>70908</xdr:colOff>
      <xdr:row>0</xdr:row>
      <xdr:rowOff>37043</xdr:rowOff>
    </xdr:from>
    <xdr:to>
      <xdr:col>4</xdr:col>
      <xdr:colOff>10584</xdr:colOff>
      <xdr:row>1</xdr:row>
      <xdr:rowOff>158750</xdr:rowOff>
    </xdr:to>
    <xdr:sp macro="" textlink="">
      <xdr:nvSpPr>
        <xdr:cNvPr id="2" name="Rounded Rectangle 3">
          <a:extLst>
            <a:ext uri="{FF2B5EF4-FFF2-40B4-BE49-F238E27FC236}">
              <a16:creationId xmlns:a16="http://schemas.microsoft.com/office/drawing/2014/main" id="{00000000-0008-0000-0A00-000002000000}"/>
            </a:ext>
          </a:extLst>
        </xdr:cNvPr>
        <xdr:cNvSpPr/>
      </xdr:nvSpPr>
      <xdr:spPr>
        <a:xfrm>
          <a:off x="70908" y="37043"/>
          <a:ext cx="5187951" cy="312207"/>
        </a:xfrm>
        <a:prstGeom prst="roundRect">
          <a:avLst/>
        </a:prstGeom>
        <a:noFill/>
        <a:ln w="19050">
          <a:prstDash val="sysDash"/>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r>
            <a:rPr lang="en-GB" sz="1600" b="1">
              <a:solidFill>
                <a:srgbClr val="002060"/>
              </a:solidFill>
            </a:rPr>
            <a:t>Waltham Forest : Long Term Condition (SNS) 2021 - 2022</a:t>
          </a:r>
        </a:p>
        <a:p>
          <a:pPr algn="l"/>
          <a:endParaRPr lang="en-GB" sz="1600">
            <a:solidFill>
              <a:srgbClr val="002060"/>
            </a:solidFill>
          </a:endParaRPr>
        </a:p>
      </xdr:txBody>
    </xdr:sp>
    <xdr:clientData/>
  </xdr:twoCellAnchor>
  <mc:AlternateContent xmlns:mc="http://schemas.openxmlformats.org/markup-compatibility/2006">
    <mc:Choice xmlns:a14="http://schemas.microsoft.com/office/drawing/2010/main" Requires="a14">
      <xdr:twoCellAnchor editAs="oneCell">
        <xdr:from>
          <xdr:col>4</xdr:col>
          <xdr:colOff>657225</xdr:colOff>
          <xdr:row>0</xdr:row>
          <xdr:rowOff>76200</xdr:rowOff>
        </xdr:from>
        <xdr:to>
          <xdr:col>5</xdr:col>
          <xdr:colOff>819150</xdr:colOff>
          <xdr:row>1</xdr:row>
          <xdr:rowOff>161925</xdr:rowOff>
        </xdr:to>
        <xdr:sp macro="" textlink="">
          <xdr:nvSpPr>
            <xdr:cNvPr id="20481" name="ComboBox1" hidden="1">
              <a:extLst>
                <a:ext uri="{63B3BB69-23CF-44E3-9099-C40C66FF867C}">
                  <a14:compatExt spid="_x0000_s20481"/>
                </a:ext>
                <a:ext uri="{FF2B5EF4-FFF2-40B4-BE49-F238E27FC236}">
                  <a16:creationId xmlns:a16="http://schemas.microsoft.com/office/drawing/2014/main" id="{00000000-0008-0000-0A00-0000015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4</xdr:col>
      <xdr:colOff>592667</xdr:colOff>
      <xdr:row>0</xdr:row>
      <xdr:rowOff>21168</xdr:rowOff>
    </xdr:from>
    <xdr:to>
      <xdr:col>6</xdr:col>
      <xdr:colOff>423334</xdr:colOff>
      <xdr:row>1</xdr:row>
      <xdr:rowOff>185208</xdr:rowOff>
    </xdr:to>
    <xdr:sp macro="" textlink="">
      <xdr:nvSpPr>
        <xdr:cNvPr id="4" name="Rounded Rectangle 3">
          <a:extLst>
            <a:ext uri="{FF2B5EF4-FFF2-40B4-BE49-F238E27FC236}">
              <a16:creationId xmlns:a16="http://schemas.microsoft.com/office/drawing/2014/main" id="{00000000-0008-0000-0A00-000004000000}"/>
            </a:ext>
          </a:extLst>
        </xdr:cNvPr>
        <xdr:cNvSpPr/>
      </xdr:nvSpPr>
      <xdr:spPr>
        <a:xfrm>
          <a:off x="5840942" y="21168"/>
          <a:ext cx="2688167" cy="354540"/>
        </a:xfrm>
        <a:prstGeom prst="roundRect">
          <a:avLst/>
        </a:prstGeom>
        <a:noFill/>
        <a:ln w="19050">
          <a:solidFill>
            <a:schemeClr val="bg1"/>
          </a:solidFill>
          <a:prstDash val="sysDash"/>
        </a:ln>
      </xdr:spPr>
      <xdr:style>
        <a:lnRef idx="2">
          <a:schemeClr val="accent1"/>
        </a:lnRef>
        <a:fillRef idx="1">
          <a:schemeClr val="lt1"/>
        </a:fillRef>
        <a:effectRef idx="0">
          <a:schemeClr val="accent1"/>
        </a:effectRef>
        <a:fontRef idx="minor">
          <a:schemeClr val="dk1"/>
        </a:fontRef>
      </xdr:style>
      <xdr:txBody>
        <a:bodyPr vertOverflow="clip" horzOverflow="clip" rtlCol="0" anchor="b"/>
        <a:lstStyle/>
        <a:p>
          <a:pPr algn="r"/>
          <a:r>
            <a:rPr lang="en-GB" sz="1600" b="1">
              <a:solidFill>
                <a:srgbClr val="002060"/>
              </a:solidFill>
            </a:rPr>
            <a:t>&lt;&lt; Select</a:t>
          </a:r>
          <a:r>
            <a:rPr lang="en-GB" sz="1600" b="1" baseline="0">
              <a:solidFill>
                <a:srgbClr val="002060"/>
              </a:solidFill>
            </a:rPr>
            <a:t> Date</a:t>
          </a:r>
          <a:endParaRPr lang="en-GB" sz="1600" b="1">
            <a:solidFill>
              <a:srgbClr val="002060"/>
            </a:solidFill>
          </a:endParaRPr>
        </a:p>
        <a:p>
          <a:pPr algn="r"/>
          <a:endParaRPr lang="en-GB" sz="1600">
            <a:solidFill>
              <a:srgbClr val="002060"/>
            </a:solidFill>
          </a:endParaRPr>
        </a:p>
      </xdr:txBody>
    </xdr:sp>
    <xdr:clientData/>
  </xdr:twoCellAnchor>
  <xdr:twoCellAnchor>
    <xdr:from>
      <xdr:col>1</xdr:col>
      <xdr:colOff>2825750</xdr:colOff>
      <xdr:row>2</xdr:row>
      <xdr:rowOff>137584</xdr:rowOff>
    </xdr:from>
    <xdr:to>
      <xdr:col>5</xdr:col>
      <xdr:colOff>1174750</xdr:colOff>
      <xdr:row>8</xdr:row>
      <xdr:rowOff>192617</xdr:rowOff>
    </xdr:to>
    <xdr:graphicFrame macro="">
      <xdr:nvGraphicFramePr>
        <xdr:cNvPr id="5" name="Chart 4">
          <a:extLst>
            <a:ext uri="{FF2B5EF4-FFF2-40B4-BE49-F238E27FC236}">
              <a16:creationId xmlns:a16="http://schemas.microsoft.com/office/drawing/2014/main" id="{00000000-0008-0000-0A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33866</xdr:colOff>
      <xdr:row>2</xdr:row>
      <xdr:rowOff>118534</xdr:rowOff>
    </xdr:from>
    <xdr:to>
      <xdr:col>1</xdr:col>
      <xdr:colOff>2793999</xdr:colOff>
      <xdr:row>9</xdr:row>
      <xdr:rowOff>63500</xdr:rowOff>
    </xdr:to>
    <mc:AlternateContent xmlns:mc="http://schemas.openxmlformats.org/markup-compatibility/2006" xmlns:a14="http://schemas.microsoft.com/office/drawing/2010/main">
      <mc:Choice Requires="a14">
        <xdr:graphicFrame macro="">
          <xdr:nvGraphicFramePr>
            <xdr:cNvPr id="3" name="Practice 2">
              <a:extLst>
                <a:ext uri="{FF2B5EF4-FFF2-40B4-BE49-F238E27FC236}">
                  <a16:creationId xmlns:a16="http://schemas.microsoft.com/office/drawing/2014/main" id="{00000000-0008-0000-0A00-000003000000}"/>
                </a:ext>
              </a:extLst>
            </xdr:cNvPr>
            <xdr:cNvGraphicFramePr/>
          </xdr:nvGraphicFramePr>
          <xdr:xfrm>
            <a:off x="0" y="0"/>
            <a:ext cx="0" cy="0"/>
          </xdr:xfrm>
          <a:graphic>
            <a:graphicData uri="http://schemas.microsoft.com/office/drawing/2010/slicer">
              <sle:slicer xmlns:sle="http://schemas.microsoft.com/office/drawing/2010/slicer" name="Practice 2"/>
            </a:graphicData>
          </a:graphic>
        </xdr:graphicFrame>
      </mc:Choice>
      <mc:Fallback xmlns="">
        <xdr:sp macro="" textlink="">
          <xdr:nvSpPr>
            <xdr:cNvPr id="0" name=""/>
            <xdr:cNvSpPr>
              <a:spLocks noTextEdit="1"/>
            </xdr:cNvSpPr>
          </xdr:nvSpPr>
          <xdr:spPr>
            <a:xfrm>
              <a:off x="139699" y="510117"/>
              <a:ext cx="2760133" cy="3119966"/>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5</xdr:col>
      <xdr:colOff>1206501</xdr:colOff>
      <xdr:row>2</xdr:row>
      <xdr:rowOff>137583</xdr:rowOff>
    </xdr:from>
    <xdr:to>
      <xdr:col>9</xdr:col>
      <xdr:colOff>571501</xdr:colOff>
      <xdr:row>8</xdr:row>
      <xdr:rowOff>192616</xdr:rowOff>
    </xdr:to>
    <xdr:graphicFrame macro="">
      <xdr:nvGraphicFramePr>
        <xdr:cNvPr id="7" name="Chart 6">
          <a:extLst>
            <a:ext uri="{FF2B5EF4-FFF2-40B4-BE49-F238E27FC236}">
              <a16:creationId xmlns:a16="http://schemas.microsoft.com/office/drawing/2014/main" id="{00000000-0008-0000-0A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9</xdr:col>
      <xdr:colOff>857250</xdr:colOff>
      <xdr:row>2</xdr:row>
      <xdr:rowOff>127001</xdr:rowOff>
    </xdr:from>
    <xdr:to>
      <xdr:col>14</xdr:col>
      <xdr:colOff>31750</xdr:colOff>
      <xdr:row>8</xdr:row>
      <xdr:rowOff>182034</xdr:rowOff>
    </xdr:to>
    <xdr:graphicFrame macro="">
      <xdr:nvGraphicFramePr>
        <xdr:cNvPr id="8" name="Chart 7">
          <a:extLst>
            <a:ext uri="{FF2B5EF4-FFF2-40B4-BE49-F238E27FC236}">
              <a16:creationId xmlns:a16="http://schemas.microsoft.com/office/drawing/2014/main" id="{00000000-0008-0000-0A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3.xml><?xml version="1.0" encoding="utf-8"?>
<xdr:wsDr xmlns:xdr="http://schemas.openxmlformats.org/drawingml/2006/spreadsheetDrawing" xmlns:a="http://schemas.openxmlformats.org/drawingml/2006/main">
  <xdr:twoCellAnchor>
    <xdr:from>
      <xdr:col>0</xdr:col>
      <xdr:colOff>70908</xdr:colOff>
      <xdr:row>0</xdr:row>
      <xdr:rowOff>37043</xdr:rowOff>
    </xdr:from>
    <xdr:to>
      <xdr:col>4</xdr:col>
      <xdr:colOff>10584</xdr:colOff>
      <xdr:row>1</xdr:row>
      <xdr:rowOff>158750</xdr:rowOff>
    </xdr:to>
    <xdr:sp macro="" textlink="">
      <xdr:nvSpPr>
        <xdr:cNvPr id="2" name="Rounded Rectangle 3">
          <a:extLst>
            <a:ext uri="{FF2B5EF4-FFF2-40B4-BE49-F238E27FC236}">
              <a16:creationId xmlns:a16="http://schemas.microsoft.com/office/drawing/2014/main" id="{00000000-0008-0000-0B00-000002000000}"/>
            </a:ext>
          </a:extLst>
        </xdr:cNvPr>
        <xdr:cNvSpPr/>
      </xdr:nvSpPr>
      <xdr:spPr>
        <a:xfrm>
          <a:off x="70908" y="37043"/>
          <a:ext cx="5187951" cy="312207"/>
        </a:xfrm>
        <a:prstGeom prst="roundRect">
          <a:avLst/>
        </a:prstGeom>
        <a:noFill/>
        <a:ln w="19050">
          <a:prstDash val="sysDash"/>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r>
            <a:rPr lang="en-GB" sz="1600" b="1">
              <a:solidFill>
                <a:srgbClr val="002060"/>
              </a:solidFill>
            </a:rPr>
            <a:t>Waltham Forest : Long Term Condition (SNS) 2021 - 2022</a:t>
          </a:r>
        </a:p>
        <a:p>
          <a:pPr algn="l"/>
          <a:endParaRPr lang="en-GB" sz="1600">
            <a:solidFill>
              <a:srgbClr val="002060"/>
            </a:solidFill>
          </a:endParaRPr>
        </a:p>
      </xdr:txBody>
    </xdr:sp>
    <xdr:clientData/>
  </xdr:twoCellAnchor>
  <mc:AlternateContent xmlns:mc="http://schemas.openxmlformats.org/markup-compatibility/2006">
    <mc:Choice xmlns:a14="http://schemas.microsoft.com/office/drawing/2010/main" Requires="a14">
      <xdr:twoCellAnchor editAs="oneCell">
        <xdr:from>
          <xdr:col>4</xdr:col>
          <xdr:colOff>657225</xdr:colOff>
          <xdr:row>0</xdr:row>
          <xdr:rowOff>76200</xdr:rowOff>
        </xdr:from>
        <xdr:to>
          <xdr:col>5</xdr:col>
          <xdr:colOff>819150</xdr:colOff>
          <xdr:row>1</xdr:row>
          <xdr:rowOff>161925</xdr:rowOff>
        </xdr:to>
        <xdr:sp macro="" textlink="">
          <xdr:nvSpPr>
            <xdr:cNvPr id="21505" name="ComboBox1" hidden="1">
              <a:extLst>
                <a:ext uri="{63B3BB69-23CF-44E3-9099-C40C66FF867C}">
                  <a14:compatExt spid="_x0000_s21505"/>
                </a:ext>
                <a:ext uri="{FF2B5EF4-FFF2-40B4-BE49-F238E27FC236}">
                  <a16:creationId xmlns:a16="http://schemas.microsoft.com/office/drawing/2014/main" id="{00000000-0008-0000-0B00-0000015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4</xdr:col>
      <xdr:colOff>592667</xdr:colOff>
      <xdr:row>0</xdr:row>
      <xdr:rowOff>21168</xdr:rowOff>
    </xdr:from>
    <xdr:to>
      <xdr:col>6</xdr:col>
      <xdr:colOff>423334</xdr:colOff>
      <xdr:row>1</xdr:row>
      <xdr:rowOff>185208</xdr:rowOff>
    </xdr:to>
    <xdr:sp macro="" textlink="">
      <xdr:nvSpPr>
        <xdr:cNvPr id="4" name="Rounded Rectangle 3">
          <a:extLst>
            <a:ext uri="{FF2B5EF4-FFF2-40B4-BE49-F238E27FC236}">
              <a16:creationId xmlns:a16="http://schemas.microsoft.com/office/drawing/2014/main" id="{00000000-0008-0000-0B00-000004000000}"/>
            </a:ext>
          </a:extLst>
        </xdr:cNvPr>
        <xdr:cNvSpPr/>
      </xdr:nvSpPr>
      <xdr:spPr>
        <a:xfrm>
          <a:off x="5840942" y="21168"/>
          <a:ext cx="2688167" cy="354540"/>
        </a:xfrm>
        <a:prstGeom prst="roundRect">
          <a:avLst/>
        </a:prstGeom>
        <a:noFill/>
        <a:ln w="19050">
          <a:solidFill>
            <a:schemeClr val="bg1"/>
          </a:solidFill>
          <a:prstDash val="sysDash"/>
        </a:ln>
      </xdr:spPr>
      <xdr:style>
        <a:lnRef idx="2">
          <a:schemeClr val="accent1"/>
        </a:lnRef>
        <a:fillRef idx="1">
          <a:schemeClr val="lt1"/>
        </a:fillRef>
        <a:effectRef idx="0">
          <a:schemeClr val="accent1"/>
        </a:effectRef>
        <a:fontRef idx="minor">
          <a:schemeClr val="dk1"/>
        </a:fontRef>
      </xdr:style>
      <xdr:txBody>
        <a:bodyPr vertOverflow="clip" horzOverflow="clip" rtlCol="0" anchor="b"/>
        <a:lstStyle/>
        <a:p>
          <a:pPr algn="r"/>
          <a:r>
            <a:rPr lang="en-GB" sz="1600" b="1">
              <a:solidFill>
                <a:srgbClr val="002060"/>
              </a:solidFill>
            </a:rPr>
            <a:t>&lt;&lt; Select</a:t>
          </a:r>
          <a:r>
            <a:rPr lang="en-GB" sz="1600" b="1" baseline="0">
              <a:solidFill>
                <a:srgbClr val="002060"/>
              </a:solidFill>
            </a:rPr>
            <a:t> Date</a:t>
          </a:r>
          <a:endParaRPr lang="en-GB" sz="1600" b="1">
            <a:solidFill>
              <a:srgbClr val="002060"/>
            </a:solidFill>
          </a:endParaRPr>
        </a:p>
        <a:p>
          <a:pPr algn="r"/>
          <a:endParaRPr lang="en-GB" sz="1600">
            <a:solidFill>
              <a:srgbClr val="002060"/>
            </a:solidFill>
          </a:endParaRPr>
        </a:p>
      </xdr:txBody>
    </xdr:sp>
    <xdr:clientData/>
  </xdr:twoCellAnchor>
  <xdr:twoCellAnchor>
    <xdr:from>
      <xdr:col>2</xdr:col>
      <xdr:colOff>126999</xdr:colOff>
      <xdr:row>2</xdr:row>
      <xdr:rowOff>137584</xdr:rowOff>
    </xdr:from>
    <xdr:to>
      <xdr:col>7</xdr:col>
      <xdr:colOff>243416</xdr:colOff>
      <xdr:row>8</xdr:row>
      <xdr:rowOff>192617</xdr:rowOff>
    </xdr:to>
    <xdr:graphicFrame macro="">
      <xdr:nvGraphicFramePr>
        <xdr:cNvPr id="5" name="Chart 4">
          <a:extLst>
            <a:ext uri="{FF2B5EF4-FFF2-40B4-BE49-F238E27FC236}">
              <a16:creationId xmlns:a16="http://schemas.microsoft.com/office/drawing/2014/main" id="{00000000-0008-0000-0B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12699</xdr:colOff>
      <xdr:row>2</xdr:row>
      <xdr:rowOff>76200</xdr:rowOff>
    </xdr:from>
    <xdr:to>
      <xdr:col>1</xdr:col>
      <xdr:colOff>2455334</xdr:colOff>
      <xdr:row>9</xdr:row>
      <xdr:rowOff>42333</xdr:rowOff>
    </xdr:to>
    <mc:AlternateContent xmlns:mc="http://schemas.openxmlformats.org/markup-compatibility/2006" xmlns:a14="http://schemas.microsoft.com/office/drawing/2010/main">
      <mc:Choice Requires="a14">
        <xdr:graphicFrame macro="">
          <xdr:nvGraphicFramePr>
            <xdr:cNvPr id="3" name="Practice 3">
              <a:extLst>
                <a:ext uri="{FF2B5EF4-FFF2-40B4-BE49-F238E27FC236}">
                  <a16:creationId xmlns:a16="http://schemas.microsoft.com/office/drawing/2014/main" id="{00000000-0008-0000-0B00-000003000000}"/>
                </a:ext>
              </a:extLst>
            </xdr:cNvPr>
            <xdr:cNvGraphicFramePr/>
          </xdr:nvGraphicFramePr>
          <xdr:xfrm>
            <a:off x="0" y="0"/>
            <a:ext cx="0" cy="0"/>
          </xdr:xfrm>
          <a:graphic>
            <a:graphicData uri="http://schemas.microsoft.com/office/drawing/2010/slicer">
              <sle:slicer xmlns:sle="http://schemas.microsoft.com/office/drawing/2010/slicer" name="Practice 3"/>
            </a:graphicData>
          </a:graphic>
        </xdr:graphicFrame>
      </mc:Choice>
      <mc:Fallback xmlns="">
        <xdr:sp macro="" textlink="">
          <xdr:nvSpPr>
            <xdr:cNvPr id="0" name=""/>
            <xdr:cNvSpPr>
              <a:spLocks noTextEdit="1"/>
            </xdr:cNvSpPr>
          </xdr:nvSpPr>
          <xdr:spPr>
            <a:xfrm>
              <a:off x="118532" y="467783"/>
              <a:ext cx="2442635" cy="3141133"/>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7</xdr:col>
      <xdr:colOff>465665</xdr:colOff>
      <xdr:row>2</xdr:row>
      <xdr:rowOff>137584</xdr:rowOff>
    </xdr:from>
    <xdr:to>
      <xdr:col>13</xdr:col>
      <xdr:colOff>42333</xdr:colOff>
      <xdr:row>8</xdr:row>
      <xdr:rowOff>192617</xdr:rowOff>
    </xdr:to>
    <xdr:graphicFrame macro="">
      <xdr:nvGraphicFramePr>
        <xdr:cNvPr id="7" name="Chart 6">
          <a:extLst>
            <a:ext uri="{FF2B5EF4-FFF2-40B4-BE49-F238E27FC236}">
              <a16:creationId xmlns:a16="http://schemas.microsoft.com/office/drawing/2014/main" id="{00000000-0008-0000-0B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14.xml><?xml version="1.0" encoding="utf-8"?>
<xdr:wsDr xmlns:xdr="http://schemas.openxmlformats.org/drawingml/2006/spreadsheetDrawing" xmlns:a="http://schemas.openxmlformats.org/drawingml/2006/main">
  <xdr:twoCellAnchor>
    <xdr:from>
      <xdr:col>0</xdr:col>
      <xdr:colOff>70908</xdr:colOff>
      <xdr:row>0</xdr:row>
      <xdr:rowOff>37043</xdr:rowOff>
    </xdr:from>
    <xdr:to>
      <xdr:col>4</xdr:col>
      <xdr:colOff>10584</xdr:colOff>
      <xdr:row>1</xdr:row>
      <xdr:rowOff>158750</xdr:rowOff>
    </xdr:to>
    <xdr:sp macro="" textlink="">
      <xdr:nvSpPr>
        <xdr:cNvPr id="2" name="Rounded Rectangle 3">
          <a:extLst>
            <a:ext uri="{FF2B5EF4-FFF2-40B4-BE49-F238E27FC236}">
              <a16:creationId xmlns:a16="http://schemas.microsoft.com/office/drawing/2014/main" id="{00000000-0008-0000-0C00-000002000000}"/>
            </a:ext>
          </a:extLst>
        </xdr:cNvPr>
        <xdr:cNvSpPr/>
      </xdr:nvSpPr>
      <xdr:spPr>
        <a:xfrm>
          <a:off x="70908" y="37043"/>
          <a:ext cx="5187951" cy="312207"/>
        </a:xfrm>
        <a:prstGeom prst="roundRect">
          <a:avLst/>
        </a:prstGeom>
        <a:noFill/>
        <a:ln w="19050">
          <a:prstDash val="sysDash"/>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r>
            <a:rPr lang="en-GB" sz="1600" b="1">
              <a:solidFill>
                <a:srgbClr val="002060"/>
              </a:solidFill>
            </a:rPr>
            <a:t>Waltham Forest : Long Term Condition (SNS) 2021 - 2022</a:t>
          </a:r>
        </a:p>
        <a:p>
          <a:pPr algn="l"/>
          <a:endParaRPr lang="en-GB" sz="1600">
            <a:solidFill>
              <a:srgbClr val="002060"/>
            </a:solidFill>
          </a:endParaRPr>
        </a:p>
      </xdr:txBody>
    </xdr:sp>
    <xdr:clientData/>
  </xdr:twoCellAnchor>
  <mc:AlternateContent xmlns:mc="http://schemas.openxmlformats.org/markup-compatibility/2006">
    <mc:Choice xmlns:a14="http://schemas.microsoft.com/office/drawing/2010/main" Requires="a14">
      <xdr:twoCellAnchor editAs="oneCell">
        <xdr:from>
          <xdr:col>4</xdr:col>
          <xdr:colOff>657225</xdr:colOff>
          <xdr:row>0</xdr:row>
          <xdr:rowOff>76200</xdr:rowOff>
        </xdr:from>
        <xdr:to>
          <xdr:col>5</xdr:col>
          <xdr:colOff>819150</xdr:colOff>
          <xdr:row>1</xdr:row>
          <xdr:rowOff>161925</xdr:rowOff>
        </xdr:to>
        <xdr:sp macro="" textlink="">
          <xdr:nvSpPr>
            <xdr:cNvPr id="22529" name="ComboBox1" hidden="1">
              <a:extLst>
                <a:ext uri="{63B3BB69-23CF-44E3-9099-C40C66FF867C}">
                  <a14:compatExt spid="_x0000_s22529"/>
                </a:ext>
                <a:ext uri="{FF2B5EF4-FFF2-40B4-BE49-F238E27FC236}">
                  <a16:creationId xmlns:a16="http://schemas.microsoft.com/office/drawing/2014/main" id="{00000000-0008-0000-0C00-0000015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4</xdr:col>
      <xdr:colOff>592667</xdr:colOff>
      <xdr:row>0</xdr:row>
      <xdr:rowOff>21168</xdr:rowOff>
    </xdr:from>
    <xdr:to>
      <xdr:col>6</xdr:col>
      <xdr:colOff>423334</xdr:colOff>
      <xdr:row>1</xdr:row>
      <xdr:rowOff>185208</xdr:rowOff>
    </xdr:to>
    <xdr:sp macro="" textlink="">
      <xdr:nvSpPr>
        <xdr:cNvPr id="4" name="Rounded Rectangle 3">
          <a:extLst>
            <a:ext uri="{FF2B5EF4-FFF2-40B4-BE49-F238E27FC236}">
              <a16:creationId xmlns:a16="http://schemas.microsoft.com/office/drawing/2014/main" id="{00000000-0008-0000-0C00-000004000000}"/>
            </a:ext>
          </a:extLst>
        </xdr:cNvPr>
        <xdr:cNvSpPr/>
      </xdr:nvSpPr>
      <xdr:spPr>
        <a:xfrm>
          <a:off x="5840942" y="21168"/>
          <a:ext cx="2688167" cy="354540"/>
        </a:xfrm>
        <a:prstGeom prst="roundRect">
          <a:avLst/>
        </a:prstGeom>
        <a:noFill/>
        <a:ln w="19050">
          <a:solidFill>
            <a:schemeClr val="bg1"/>
          </a:solidFill>
          <a:prstDash val="sysDash"/>
        </a:ln>
      </xdr:spPr>
      <xdr:style>
        <a:lnRef idx="2">
          <a:schemeClr val="accent1"/>
        </a:lnRef>
        <a:fillRef idx="1">
          <a:schemeClr val="lt1"/>
        </a:fillRef>
        <a:effectRef idx="0">
          <a:schemeClr val="accent1"/>
        </a:effectRef>
        <a:fontRef idx="minor">
          <a:schemeClr val="dk1"/>
        </a:fontRef>
      </xdr:style>
      <xdr:txBody>
        <a:bodyPr vertOverflow="clip" horzOverflow="clip" rtlCol="0" anchor="b"/>
        <a:lstStyle/>
        <a:p>
          <a:pPr algn="r"/>
          <a:r>
            <a:rPr lang="en-GB" sz="1600" b="1">
              <a:solidFill>
                <a:srgbClr val="002060"/>
              </a:solidFill>
            </a:rPr>
            <a:t>&lt;&lt; Select</a:t>
          </a:r>
          <a:r>
            <a:rPr lang="en-GB" sz="1600" b="1" baseline="0">
              <a:solidFill>
                <a:srgbClr val="002060"/>
              </a:solidFill>
            </a:rPr>
            <a:t> Date</a:t>
          </a:r>
          <a:endParaRPr lang="en-GB" sz="1600" b="1">
            <a:solidFill>
              <a:srgbClr val="002060"/>
            </a:solidFill>
          </a:endParaRPr>
        </a:p>
        <a:p>
          <a:pPr algn="r"/>
          <a:endParaRPr lang="en-GB" sz="1600">
            <a:solidFill>
              <a:srgbClr val="002060"/>
            </a:solidFill>
          </a:endParaRPr>
        </a:p>
      </xdr:txBody>
    </xdr:sp>
    <xdr:clientData/>
  </xdr:twoCellAnchor>
  <xdr:twoCellAnchor>
    <xdr:from>
      <xdr:col>1</xdr:col>
      <xdr:colOff>3122083</xdr:colOff>
      <xdr:row>2</xdr:row>
      <xdr:rowOff>169334</xdr:rowOff>
    </xdr:from>
    <xdr:to>
      <xdr:col>8</xdr:col>
      <xdr:colOff>1291167</xdr:colOff>
      <xdr:row>8</xdr:row>
      <xdr:rowOff>224367</xdr:rowOff>
    </xdr:to>
    <xdr:graphicFrame macro="">
      <xdr:nvGraphicFramePr>
        <xdr:cNvPr id="5" name="Chart 4">
          <a:extLst>
            <a:ext uri="{FF2B5EF4-FFF2-40B4-BE49-F238E27FC236}">
              <a16:creationId xmlns:a16="http://schemas.microsoft.com/office/drawing/2014/main" id="{00000000-0008-0000-0C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33866</xdr:colOff>
      <xdr:row>2</xdr:row>
      <xdr:rowOff>150285</xdr:rowOff>
    </xdr:from>
    <xdr:to>
      <xdr:col>1</xdr:col>
      <xdr:colOff>2444750</xdr:colOff>
      <xdr:row>9</xdr:row>
      <xdr:rowOff>137584</xdr:rowOff>
    </xdr:to>
    <mc:AlternateContent xmlns:mc="http://schemas.openxmlformats.org/markup-compatibility/2006" xmlns:a14="http://schemas.microsoft.com/office/drawing/2010/main">
      <mc:Choice Requires="a14">
        <xdr:graphicFrame macro="">
          <xdr:nvGraphicFramePr>
            <xdr:cNvPr id="3" name="Practice 4">
              <a:extLst>
                <a:ext uri="{FF2B5EF4-FFF2-40B4-BE49-F238E27FC236}">
                  <a16:creationId xmlns:a16="http://schemas.microsoft.com/office/drawing/2014/main" id="{00000000-0008-0000-0C00-000003000000}"/>
                </a:ext>
              </a:extLst>
            </xdr:cNvPr>
            <xdr:cNvGraphicFramePr/>
          </xdr:nvGraphicFramePr>
          <xdr:xfrm>
            <a:off x="0" y="0"/>
            <a:ext cx="0" cy="0"/>
          </xdr:xfrm>
          <a:graphic>
            <a:graphicData uri="http://schemas.microsoft.com/office/drawing/2010/slicer">
              <sle:slicer xmlns:sle="http://schemas.microsoft.com/office/drawing/2010/slicer" name="Practice 4"/>
            </a:graphicData>
          </a:graphic>
        </xdr:graphicFrame>
      </mc:Choice>
      <mc:Fallback xmlns="">
        <xdr:sp macro="" textlink="">
          <xdr:nvSpPr>
            <xdr:cNvPr id="0" name=""/>
            <xdr:cNvSpPr>
              <a:spLocks noTextEdit="1"/>
            </xdr:cNvSpPr>
          </xdr:nvSpPr>
          <xdr:spPr>
            <a:xfrm>
              <a:off x="139699" y="541868"/>
              <a:ext cx="2410884" cy="3162299"/>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wsDr>
</file>

<file path=xl/drawings/drawing15.xml><?xml version="1.0" encoding="utf-8"?>
<xdr:wsDr xmlns:xdr="http://schemas.openxmlformats.org/drawingml/2006/spreadsheetDrawing" xmlns:a="http://schemas.openxmlformats.org/drawingml/2006/main">
  <xdr:twoCellAnchor>
    <xdr:from>
      <xdr:col>0</xdr:col>
      <xdr:colOff>70908</xdr:colOff>
      <xdr:row>0</xdr:row>
      <xdr:rowOff>37043</xdr:rowOff>
    </xdr:from>
    <xdr:to>
      <xdr:col>4</xdr:col>
      <xdr:colOff>10584</xdr:colOff>
      <xdr:row>1</xdr:row>
      <xdr:rowOff>158750</xdr:rowOff>
    </xdr:to>
    <xdr:sp macro="" textlink="">
      <xdr:nvSpPr>
        <xdr:cNvPr id="2" name="Rounded Rectangle 3">
          <a:extLst>
            <a:ext uri="{FF2B5EF4-FFF2-40B4-BE49-F238E27FC236}">
              <a16:creationId xmlns:a16="http://schemas.microsoft.com/office/drawing/2014/main" id="{00000000-0008-0000-0D00-000002000000}"/>
            </a:ext>
          </a:extLst>
        </xdr:cNvPr>
        <xdr:cNvSpPr/>
      </xdr:nvSpPr>
      <xdr:spPr>
        <a:xfrm>
          <a:off x="70908" y="37043"/>
          <a:ext cx="5187951" cy="312207"/>
        </a:xfrm>
        <a:prstGeom prst="roundRect">
          <a:avLst/>
        </a:prstGeom>
        <a:noFill/>
        <a:ln w="19050">
          <a:prstDash val="sysDash"/>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r>
            <a:rPr lang="en-GB" sz="1600" b="1">
              <a:solidFill>
                <a:srgbClr val="002060"/>
              </a:solidFill>
            </a:rPr>
            <a:t>Waltham Forest : Long Term Condition (SNS) 2021 - 2022</a:t>
          </a:r>
        </a:p>
        <a:p>
          <a:pPr algn="l"/>
          <a:endParaRPr lang="en-GB" sz="1600">
            <a:solidFill>
              <a:srgbClr val="002060"/>
            </a:solidFill>
          </a:endParaRPr>
        </a:p>
      </xdr:txBody>
    </xdr:sp>
    <xdr:clientData/>
  </xdr:twoCellAnchor>
  <mc:AlternateContent xmlns:mc="http://schemas.openxmlformats.org/markup-compatibility/2006">
    <mc:Choice xmlns:a14="http://schemas.microsoft.com/office/drawing/2010/main" Requires="a14">
      <xdr:twoCellAnchor editAs="oneCell">
        <xdr:from>
          <xdr:col>4</xdr:col>
          <xdr:colOff>657225</xdr:colOff>
          <xdr:row>0</xdr:row>
          <xdr:rowOff>76200</xdr:rowOff>
        </xdr:from>
        <xdr:to>
          <xdr:col>5</xdr:col>
          <xdr:colOff>819150</xdr:colOff>
          <xdr:row>1</xdr:row>
          <xdr:rowOff>161925</xdr:rowOff>
        </xdr:to>
        <xdr:sp macro="" textlink="">
          <xdr:nvSpPr>
            <xdr:cNvPr id="23553" name="ComboBox1" hidden="1">
              <a:extLst>
                <a:ext uri="{63B3BB69-23CF-44E3-9099-C40C66FF867C}">
                  <a14:compatExt spid="_x0000_s23553"/>
                </a:ext>
                <a:ext uri="{FF2B5EF4-FFF2-40B4-BE49-F238E27FC236}">
                  <a16:creationId xmlns:a16="http://schemas.microsoft.com/office/drawing/2014/main" id="{00000000-0008-0000-0D00-0000015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4</xdr:col>
      <xdr:colOff>592667</xdr:colOff>
      <xdr:row>0</xdr:row>
      <xdr:rowOff>21168</xdr:rowOff>
    </xdr:from>
    <xdr:to>
      <xdr:col>6</xdr:col>
      <xdr:colOff>423334</xdr:colOff>
      <xdr:row>1</xdr:row>
      <xdr:rowOff>185208</xdr:rowOff>
    </xdr:to>
    <xdr:sp macro="" textlink="">
      <xdr:nvSpPr>
        <xdr:cNvPr id="4" name="Rounded Rectangle 3">
          <a:extLst>
            <a:ext uri="{FF2B5EF4-FFF2-40B4-BE49-F238E27FC236}">
              <a16:creationId xmlns:a16="http://schemas.microsoft.com/office/drawing/2014/main" id="{00000000-0008-0000-0D00-000004000000}"/>
            </a:ext>
          </a:extLst>
        </xdr:cNvPr>
        <xdr:cNvSpPr/>
      </xdr:nvSpPr>
      <xdr:spPr>
        <a:xfrm>
          <a:off x="5840942" y="21168"/>
          <a:ext cx="2688167" cy="354540"/>
        </a:xfrm>
        <a:prstGeom prst="roundRect">
          <a:avLst/>
        </a:prstGeom>
        <a:noFill/>
        <a:ln w="19050">
          <a:solidFill>
            <a:schemeClr val="bg1"/>
          </a:solidFill>
          <a:prstDash val="sysDash"/>
        </a:ln>
      </xdr:spPr>
      <xdr:style>
        <a:lnRef idx="2">
          <a:schemeClr val="accent1"/>
        </a:lnRef>
        <a:fillRef idx="1">
          <a:schemeClr val="lt1"/>
        </a:fillRef>
        <a:effectRef idx="0">
          <a:schemeClr val="accent1"/>
        </a:effectRef>
        <a:fontRef idx="minor">
          <a:schemeClr val="dk1"/>
        </a:fontRef>
      </xdr:style>
      <xdr:txBody>
        <a:bodyPr vertOverflow="clip" horzOverflow="clip" rtlCol="0" anchor="b"/>
        <a:lstStyle/>
        <a:p>
          <a:pPr algn="r"/>
          <a:r>
            <a:rPr lang="en-GB" sz="1600" b="1">
              <a:solidFill>
                <a:srgbClr val="002060"/>
              </a:solidFill>
            </a:rPr>
            <a:t>&lt;&lt; Select</a:t>
          </a:r>
          <a:r>
            <a:rPr lang="en-GB" sz="1600" b="1" baseline="0">
              <a:solidFill>
                <a:srgbClr val="002060"/>
              </a:solidFill>
            </a:rPr>
            <a:t> Date</a:t>
          </a:r>
          <a:endParaRPr lang="en-GB" sz="1600" b="1">
            <a:solidFill>
              <a:srgbClr val="002060"/>
            </a:solidFill>
          </a:endParaRPr>
        </a:p>
        <a:p>
          <a:pPr algn="r"/>
          <a:endParaRPr lang="en-GB" sz="1600">
            <a:solidFill>
              <a:srgbClr val="002060"/>
            </a:solidFill>
          </a:endParaRPr>
        </a:p>
      </xdr:txBody>
    </xdr:sp>
    <xdr:clientData/>
  </xdr:twoCellAnchor>
  <xdr:twoCellAnchor>
    <xdr:from>
      <xdr:col>2</xdr:col>
      <xdr:colOff>349250</xdr:colOff>
      <xdr:row>2</xdr:row>
      <xdr:rowOff>127001</xdr:rowOff>
    </xdr:from>
    <xdr:to>
      <xdr:col>10</xdr:col>
      <xdr:colOff>1068917</xdr:colOff>
      <xdr:row>8</xdr:row>
      <xdr:rowOff>182034</xdr:rowOff>
    </xdr:to>
    <xdr:graphicFrame macro="">
      <xdr:nvGraphicFramePr>
        <xdr:cNvPr id="5" name="Chart 4">
          <a:extLst>
            <a:ext uri="{FF2B5EF4-FFF2-40B4-BE49-F238E27FC236}">
              <a16:creationId xmlns:a16="http://schemas.microsoft.com/office/drawing/2014/main" id="{00000000-0008-0000-0D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0</xdr:col>
      <xdr:colOff>102658</xdr:colOff>
      <xdr:row>2</xdr:row>
      <xdr:rowOff>118533</xdr:rowOff>
    </xdr:from>
    <xdr:to>
      <xdr:col>1</xdr:col>
      <xdr:colOff>2529416</xdr:colOff>
      <xdr:row>9</xdr:row>
      <xdr:rowOff>74084</xdr:rowOff>
    </xdr:to>
    <mc:AlternateContent xmlns:mc="http://schemas.openxmlformats.org/markup-compatibility/2006" xmlns:a14="http://schemas.microsoft.com/office/drawing/2010/main">
      <mc:Choice Requires="a14">
        <xdr:graphicFrame macro="">
          <xdr:nvGraphicFramePr>
            <xdr:cNvPr id="3" name="Practice 5">
              <a:extLst>
                <a:ext uri="{FF2B5EF4-FFF2-40B4-BE49-F238E27FC236}">
                  <a16:creationId xmlns:a16="http://schemas.microsoft.com/office/drawing/2014/main" id="{00000000-0008-0000-0D00-000003000000}"/>
                </a:ext>
              </a:extLst>
            </xdr:cNvPr>
            <xdr:cNvGraphicFramePr/>
          </xdr:nvGraphicFramePr>
          <xdr:xfrm>
            <a:off x="0" y="0"/>
            <a:ext cx="0" cy="0"/>
          </xdr:xfrm>
          <a:graphic>
            <a:graphicData uri="http://schemas.microsoft.com/office/drawing/2010/slicer">
              <sle:slicer xmlns:sle="http://schemas.microsoft.com/office/drawing/2010/slicer" name="Practice 5"/>
            </a:graphicData>
          </a:graphic>
        </xdr:graphicFrame>
      </mc:Choice>
      <mc:Fallback xmlns="">
        <xdr:sp macro="" textlink="">
          <xdr:nvSpPr>
            <xdr:cNvPr id="0" name=""/>
            <xdr:cNvSpPr>
              <a:spLocks noTextEdit="1"/>
            </xdr:cNvSpPr>
          </xdr:nvSpPr>
          <xdr:spPr>
            <a:xfrm>
              <a:off x="102658" y="510116"/>
              <a:ext cx="2532591" cy="3130551"/>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wsDr>
</file>

<file path=xl/drawings/drawing16.xml><?xml version="1.0" encoding="utf-8"?>
<xdr:wsDr xmlns:xdr="http://schemas.openxmlformats.org/drawingml/2006/spreadsheetDrawing" xmlns:a="http://schemas.openxmlformats.org/drawingml/2006/main">
  <xdr:twoCellAnchor>
    <xdr:from>
      <xdr:col>5</xdr:col>
      <xdr:colOff>66675</xdr:colOff>
      <xdr:row>9</xdr:row>
      <xdr:rowOff>114300</xdr:rowOff>
    </xdr:from>
    <xdr:to>
      <xdr:col>8</xdr:col>
      <xdr:colOff>2945604</xdr:colOff>
      <xdr:row>25</xdr:row>
      <xdr:rowOff>42863</xdr:rowOff>
    </xdr:to>
    <xdr:graphicFrame macro="">
      <xdr:nvGraphicFramePr>
        <xdr:cNvPr id="15" name="Chart 14">
          <a:extLst>
            <a:ext uri="{FF2B5EF4-FFF2-40B4-BE49-F238E27FC236}">
              <a16:creationId xmlns:a16="http://schemas.microsoft.com/office/drawing/2014/main" id="{00000000-0008-0000-0E00-00000F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wew846" refreshedDate="44664.44822766204" createdVersion="7" refreshedVersion="7" minRefreshableVersion="3" recordCount="497" xr:uid="{E5E2CBC2-B1C6-455B-BCFE-8125CE5F68E0}">
  <cacheSource type="worksheet">
    <worksheetSource name="table2"/>
  </cacheSource>
  <cacheFields count="54">
    <cacheField name="ProjectID" numFmtId="0">
      <sharedItems/>
    </cacheField>
    <cacheField name="Rel_D" numFmtId="14">
      <sharedItems containsSemiMixedTypes="0" containsNonDate="0" containsDate="1" containsString="0" minDate="2021-04-01T00:00:00" maxDate="2022-04-02T00:00:00" count="13">
        <d v="2021-10-01T00:00:00"/>
        <d v="2021-11-01T00:00:00"/>
        <d v="2021-12-01T00:00:00"/>
        <d v="2022-01-01T00:00:00"/>
        <d v="2022-02-01T00:00:00"/>
        <d v="2022-03-01T00:00:00"/>
        <d v="2022-04-01T00:00:00"/>
        <d v="2021-04-01T00:00:00"/>
        <d v="2021-05-01T00:00:00"/>
        <d v="2021-06-01T00:00:00"/>
        <d v="2021-07-01T00:00:00"/>
        <d v="2021-08-01T00:00:00"/>
        <d v="2021-09-01T00:00:00"/>
      </sharedItems>
    </cacheField>
    <cacheField name="Run_D" numFmtId="0">
      <sharedItems containsDate="1" containsString="0" containsBlank="1" containsMixedTypes="1" minDate="2021-07-09T00:00:00" maxDate="1900-01-08T18:50:04"/>
    </cacheField>
    <cacheField name="OrgID" numFmtId="0">
      <sharedItems/>
    </cacheField>
    <cacheField name="All currently registered regular patients aged 18+" numFmtId="0">
      <sharedItems containsSemiMixedTypes="0" containsString="0" containsNumber="1" containsInteger="1" minValue="1656" maxValue="13034"/>
    </cacheField>
    <cacheField name="A. Patients on the diabetes register" numFmtId="0">
      <sharedItems containsSemiMixedTypes="0" containsString="0" containsNumber="1" containsInteger="1" minValue="121" maxValue="883"/>
    </cacheField>
    <cacheField name="Type 2 diabetics" numFmtId="0">
      <sharedItems containsSemiMixedTypes="0" containsString="0" containsNumber="1" containsInteger="1" minValue="109" maxValue="838"/>
    </cacheField>
    <cacheField name="1 Diabetes review recorded or proxy 12m" numFmtId="0">
      <sharedItems containsSemiMixedTypes="0" containsString="0" containsNumber="1" containsInteger="1" minValue="24" maxValue="710"/>
    </cacheField>
    <cacheField name="Eligible for triple target" numFmtId="0">
      <sharedItems containsSemiMixedTypes="0" containsString="0" containsNumber="1" containsInteger="1" minValue="42" maxValue="705"/>
    </cacheField>
    <cacheField name="3 Triple target achieved" numFmtId="0">
      <sharedItems containsSemiMixedTypes="0" containsString="0" containsNumber="1" containsInteger="1" minValue="0" maxValue="145"/>
    </cacheField>
    <cacheField name="B. Patients on the COPD register" numFmtId="0">
      <sharedItems containsSemiMixedTypes="0" containsString="0" containsNumber="1" containsInteger="1" minValue="12" maxValue="233"/>
    </cacheField>
    <cacheField name="4 COPD review coded or proxy (MRC) 12m" numFmtId="0">
      <sharedItems containsSemiMixedTypes="0" containsString="0" containsNumber="1" containsInteger="1" minValue="4" maxValue="192"/>
    </cacheField>
    <cacheField name="7 COPD action plan recorded 12m" numFmtId="0">
      <sharedItems containsString="0" containsBlank="1" containsNumber="1" containsInteger="1" minValue="0" maxValue="117"/>
    </cacheField>
    <cacheField name="6 CAT Score &amp; MRC scale recorded" numFmtId="0">
      <sharedItems containsString="0" containsBlank="1" containsNumber="1" containsInteger="1" minValue="0" maxValue="160"/>
    </cacheField>
    <cacheField name="C. Patients on the asthma register" numFmtId="0">
      <sharedItems containsSemiMixedTypes="0" containsString="0" containsNumber="1" containsInteger="1" minValue="81" maxValue="756"/>
    </cacheField>
    <cacheField name="8 Asthma review coded or proxy (inhaler technique) 12m" numFmtId="0">
      <sharedItems containsSemiMixedTypes="0" containsString="0" containsNumber="1" containsInteger="1" minValue="6" maxValue="537"/>
    </cacheField>
    <cacheField name="10 Asthma Action Plan recorded 12m" numFmtId="0">
      <sharedItems containsSemiMixedTypes="0" containsString="0" containsNumber="1" containsInteger="1" minValue="3" maxValue="521"/>
    </cacheField>
    <cacheField name="11 ACT recorded" numFmtId="0">
      <sharedItems containsSemiMixedTypes="0" containsString="0" containsNumber="1" containsInteger="1" minValue="3" maxValue="529"/>
    </cacheField>
    <cacheField name="D. Patients on the hypertension register" numFmtId="0">
      <sharedItems containsSemiMixedTypes="0" containsString="0" containsNumber="1" containsInteger="1" minValue="260" maxValue="1975"/>
    </cacheField>
    <cacheField name="15 On target" numFmtId="0">
      <sharedItems containsSemiMixedTypes="0" containsString="0" containsNumber="1" containsInteger="1" minValue="50" maxValue="1046"/>
    </cacheField>
    <cacheField name="Off target" numFmtId="0">
      <sharedItems containsSemiMixedTypes="0" containsString="0" containsNumber="1" containsInteger="1" minValue="81" maxValue="1750"/>
    </cacheField>
    <cacheField name="12 Off target, with clinical review (2)" numFmtId="0">
      <sharedItems containsSemiMixedTypes="0" containsString="0" containsNumber="1" containsInteger="1" minValue="12" maxValue="984"/>
    </cacheField>
    <cacheField name="E. Patients on the CHD or Stroke/TIA or PAD register" numFmtId="0">
      <sharedItems containsSemiMixedTypes="0" containsString="0" containsNumber="1" containsInteger="1" minValue="63" maxValue="606"/>
    </cacheField>
    <cacheField name="13 Secondary prevention statins prescribed or offered in last 12m" numFmtId="0">
      <sharedItems containsSemiMixedTypes="0" containsString="0" containsNumber="1" containsInteger="1" minValue="28" maxValue="283"/>
    </cacheField>
    <cacheField name="F. Patients on anticoagulants or antiplatelets 6m" numFmtId="0">
      <sharedItems containsSemiMixedTypes="0" containsString="0" containsNumber="1" containsInteger="1" minValue="76" maxValue="841"/>
    </cacheField>
    <cacheField name="Not on PPI 6m" numFmtId="0">
      <sharedItems containsSemiMixedTypes="0" containsString="0" containsNumber="1" containsInteger="1" minValue="21" maxValue="430"/>
    </cacheField>
    <cacheField name="14 Not on PPI, reviewed" numFmtId="0">
      <sharedItems containsString="0" containsBlank="1" containsNumber="1" containsInteger="1" minValue="0" maxValue="412"/>
    </cacheField>
    <cacheField name="SubLocality ID" numFmtId="0">
      <sharedItems/>
    </cacheField>
    <cacheField name="SubLocality" numFmtId="0">
      <sharedItems/>
    </cacheField>
    <cacheField name="Practice" numFmtId="0">
      <sharedItems count="39">
        <s v="Handsworth Medical Centre"/>
        <s v="The Ecclesbourne Practice"/>
        <s v="Forest Surgery"/>
        <s v="Leyton Healthcare (Oliver Road)"/>
        <s v="The Microfaculty"/>
        <s v=" The Firs"/>
        <s v=" The Penryhn Surgery"/>
        <s v="Seymour Medical Centre"/>
        <s v="The Manor Practice"/>
        <s v="Queens Road Medical Centre"/>
        <s v="The Allum Medical Centre"/>
        <s v="Sma Medical Centre"/>
        <s v=" Crawley Road Medical Centre"/>
        <s v="High Road Surgery"/>
        <s v="St James Medical Practice Ltd"/>
        <s v="Grove Surgery"/>
        <s v="The Ridgeway Surgery"/>
        <s v="Dr Dhital Practice"/>
        <s v="The Lyndhurst Surgery"/>
        <s v="Addison Road Medical Practice"/>
        <s v="Old Church Surgery"/>
        <s v="Green Man Medical Centre"/>
        <s v="LL Medical Care (Agarwal &amp; Agrwal Practice)"/>
        <s v="Dr Shantir Practice"/>
        <s v="Churchill Medical Centre"/>
        <s v="Waltham Forest Community &amp; Family Health Services Ltd"/>
        <s v="Lime Tree Surgery"/>
        <s v="Larkshall Medical Centre"/>
        <s v="The Harrow Road Surgery"/>
        <s v="Higham Hill Medical Centre"/>
        <s v="The Bailey Practice"/>
        <s v="Francis Road Medical Centre"/>
        <s v="Kings Head Medical Practice"/>
        <s v="Kiyani Medical Practice"/>
        <s v="The Langthorne Sharma Family Practice"/>
        <s v="Claremont Medical Centre"/>
        <s v="Hampton Medical Centre"/>
        <s v="Chingford Medical Practice"/>
        <s v="Lime Tree &amp; Sinnott Healthcare Ltd"/>
      </sharedItems>
    </cacheField>
    <cacheField name="Diabetes review%" numFmtId="0" formula="'1 Diabetes review recorded or proxy 12m'/'Type 2 diabetics'" databaseField="0"/>
    <cacheField name="Diabetes Triple%" numFmtId="0" formula="'3 Triple target achieved'/'Eligible for triple target'" databaseField="0"/>
    <cacheField name="Diabetes Review remaining" numFmtId="0" formula="'Type 2 diabetics'-'1 Diabetes review recorded or proxy 12m'" databaseField="0"/>
    <cacheField name="diabetes review target" numFmtId="0" formula="'Type 2 diabetics'*0.6" databaseField="0"/>
    <cacheField name="60%" numFmtId="0" formula=" 0.6" databaseField="0"/>
    <cacheField name="15%" numFmtId="0" formula=" 0.15" databaseField="0"/>
    <cacheField name="Target 80%" numFmtId="0" formula=" 0.8" databaseField="0"/>
    <cacheField name="COPD Review%" numFmtId="0" formula="'4 COPD review coded or proxy (MRC) 12m'/'B. Patients on the COPD register'" databaseField="0"/>
    <cacheField name="target 58%" numFmtId="0" formula=" 0.58" databaseField="0"/>
    <cacheField name="COPD action%" numFmtId="0" formula="'7 COPD action plan recorded 12m'/'B. Patients on the COPD register'" databaseField="0"/>
    <cacheField name="target 55%" numFmtId="0" formula=" 0.55" databaseField="0"/>
    <cacheField name="COPD CAT%" numFmtId="0" formula="'6 CAT Score &amp; MRC scale recorded'/'B. Patients on the COPD register'" databaseField="0"/>
    <cacheField name="Asthma review %" numFmtId="0" formula="'8 Asthma review coded or proxy (inhaler technique) 12m'/'C. Patients on the asthma register'" databaseField="0"/>
    <cacheField name="71%" numFmtId="0" formula=" 0.71" databaseField="0"/>
    <cacheField name="Asthma Action plan %" numFmtId="0" formula="'10 Asthma Action Plan recorded 12m'/'C. Patients on the asthma register'" databaseField="0"/>
    <cacheField name="90%" numFmtId="0" formula=" 0.9" databaseField="0"/>
    <cacheField name="ACT%" numFmtId="0" formula="'11 ACT recorded'/'C. Patients on the asthma register'" databaseField="0"/>
    <cacheField name="Hypertension %" numFmtId="0" formula="'15 On target'/'D. Patients on the hypertension register'" databaseField="0"/>
    <cacheField name="12 Off Target %" numFmtId="0" formula="'12 Off target, with clinical review (2)'/'Off target'" databaseField="0"/>
    <cacheField name="50%" numFmtId="0" formula=" 0.5" databaseField="0"/>
    <cacheField name="25%" numFmtId="0" formula=" 0.25" databaseField="0"/>
    <cacheField name="CHD %" numFmtId="0" formula="'13 Secondary prevention statins prescribed or offered in last 12m'/'E. Patients on the CHD or Stroke/TIA or PAD register'" databaseField="0"/>
    <cacheField name="49%" numFmtId="0" formula=" 0.49" databaseField="0"/>
    <cacheField name="PPI%" numFmtId="0" formula="'14 Not on PPI, reviewed'/'Not on PPI 6m'" databaseField="0"/>
  </cacheFields>
  <extLst>
    <ext xmlns:x14="http://schemas.microsoft.com/office/spreadsheetml/2009/9/main" uri="{725AE2AE-9491-48be-B2B4-4EB974FC3084}">
      <x14:pivotCacheDefinition pivotCacheId="1568821946"/>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497">
  <r>
    <s v=""/>
    <x v="0"/>
    <m/>
    <s v="F86004"/>
    <n v="12456"/>
    <n v="677"/>
    <n v="630"/>
    <n v="337"/>
    <n v="372"/>
    <n v="34"/>
    <n v="158"/>
    <n v="127"/>
    <n v="75"/>
    <n v="66"/>
    <n v="755"/>
    <n v="476"/>
    <n v="462"/>
    <n v="467"/>
    <n v="1947"/>
    <n v="494"/>
    <n v="1453"/>
    <n v="826"/>
    <n v="548"/>
    <n v="280"/>
    <n v="793"/>
    <n v="405"/>
    <n v="1"/>
    <s v="WF-2"/>
    <s v="Chingford E4"/>
    <x v="0"/>
  </r>
  <r>
    <s v=""/>
    <x v="0"/>
    <m/>
    <s v="F86018"/>
    <n v="7762"/>
    <n v="670"/>
    <n v="620"/>
    <n v="176"/>
    <n v="428"/>
    <n v="25"/>
    <n v="106"/>
    <n v="88"/>
    <n v="5"/>
    <n v="3"/>
    <n v="396"/>
    <n v="327"/>
    <n v="325"/>
    <n v="316"/>
    <n v="1306"/>
    <n v="396"/>
    <n v="910"/>
    <n v="562"/>
    <n v="347"/>
    <n v="130"/>
    <n v="460"/>
    <n v="221"/>
    <n v="49"/>
    <s v="WF-4"/>
    <s v="Forest Integrated Health"/>
    <x v="1"/>
  </r>
  <r>
    <s v=""/>
    <x v="0"/>
    <m/>
    <s v="F86026"/>
    <n v="5621"/>
    <n v="421"/>
    <n v="392"/>
    <n v="191"/>
    <n v="313"/>
    <n v="36"/>
    <n v="75"/>
    <n v="25"/>
    <m/>
    <m/>
    <n v="361"/>
    <n v="340"/>
    <n v="285"/>
    <n v="281"/>
    <n v="714"/>
    <n v="383"/>
    <n v="331"/>
    <n v="149"/>
    <n v="220"/>
    <n v="110"/>
    <n v="335"/>
    <n v="135"/>
    <n v="26"/>
    <s v="WF-1"/>
    <s v="Chingford/ Walthamstow"/>
    <x v="2"/>
  </r>
  <r>
    <s v=""/>
    <x v="0"/>
    <m/>
    <s v="F86074"/>
    <n v="11913"/>
    <n v="870"/>
    <n v="828"/>
    <n v="649"/>
    <n v="701"/>
    <n v="79"/>
    <n v="113"/>
    <n v="106"/>
    <n v="49"/>
    <n v="74"/>
    <n v="586"/>
    <n v="432"/>
    <n v="418"/>
    <n v="421"/>
    <n v="1490"/>
    <n v="634"/>
    <n v="856"/>
    <n v="491"/>
    <n v="575"/>
    <n v="220"/>
    <n v="498"/>
    <n v="226"/>
    <n v="4"/>
    <s v="WF-3"/>
    <s v="Leyton Collaborative"/>
    <x v="3"/>
  </r>
  <r>
    <s v=""/>
    <x v="0"/>
    <m/>
    <s v="F86638"/>
    <n v="4108"/>
    <n v="378"/>
    <n v="365"/>
    <n v="266"/>
    <n v="263"/>
    <n v="40"/>
    <n v="61"/>
    <n v="48"/>
    <n v="9"/>
    <n v="2"/>
    <n v="210"/>
    <n v="144"/>
    <n v="139"/>
    <n v="142"/>
    <n v="781"/>
    <n v="249"/>
    <n v="532"/>
    <n v="345"/>
    <n v="198"/>
    <n v="94"/>
    <n v="265"/>
    <n v="100"/>
    <n v="32"/>
    <s v="WF-1"/>
    <s v="Chingford/ Walthamstow"/>
    <x v="4"/>
  </r>
  <r>
    <s v=""/>
    <x v="1"/>
    <m/>
    <s v="F86004"/>
    <n v="12456"/>
    <n v="677"/>
    <n v="630"/>
    <n v="337"/>
    <n v="372"/>
    <n v="34"/>
    <n v="158"/>
    <n v="127"/>
    <n v="75"/>
    <n v="66"/>
    <n v="755"/>
    <n v="476"/>
    <n v="462"/>
    <n v="467"/>
    <n v="1947"/>
    <n v="494"/>
    <n v="1453"/>
    <n v="826"/>
    <n v="548"/>
    <n v="280"/>
    <n v="793"/>
    <n v="405"/>
    <n v="1"/>
    <s v="WF-2"/>
    <s v="Chingford E4"/>
    <x v="0"/>
  </r>
  <r>
    <s v=""/>
    <x v="1"/>
    <m/>
    <s v="F86018"/>
    <n v="7762"/>
    <n v="670"/>
    <n v="620"/>
    <n v="176"/>
    <n v="428"/>
    <n v="25"/>
    <n v="106"/>
    <n v="88"/>
    <n v="5"/>
    <n v="3"/>
    <n v="396"/>
    <n v="327"/>
    <n v="325"/>
    <n v="316"/>
    <n v="1306"/>
    <n v="396"/>
    <n v="910"/>
    <n v="562"/>
    <n v="347"/>
    <n v="130"/>
    <n v="460"/>
    <n v="221"/>
    <n v="49"/>
    <s v="WF-4"/>
    <s v="Forest Integrated Health"/>
    <x v="1"/>
  </r>
  <r>
    <s v=""/>
    <x v="1"/>
    <m/>
    <s v="F86026"/>
    <n v="5621"/>
    <n v="421"/>
    <n v="392"/>
    <n v="191"/>
    <n v="313"/>
    <n v="36"/>
    <n v="75"/>
    <n v="25"/>
    <m/>
    <m/>
    <n v="361"/>
    <n v="340"/>
    <n v="285"/>
    <n v="281"/>
    <n v="714"/>
    <n v="383"/>
    <n v="331"/>
    <n v="149"/>
    <n v="220"/>
    <n v="110"/>
    <n v="335"/>
    <n v="135"/>
    <n v="26"/>
    <s v="WF-1"/>
    <s v="Chingford/ Walthamstow"/>
    <x v="2"/>
  </r>
  <r>
    <s v=""/>
    <x v="1"/>
    <m/>
    <s v="F86074"/>
    <n v="11913"/>
    <n v="870"/>
    <n v="828"/>
    <n v="649"/>
    <n v="701"/>
    <n v="79"/>
    <n v="113"/>
    <n v="106"/>
    <n v="49"/>
    <n v="74"/>
    <n v="586"/>
    <n v="432"/>
    <n v="418"/>
    <n v="421"/>
    <n v="1490"/>
    <n v="634"/>
    <n v="856"/>
    <n v="491"/>
    <n v="575"/>
    <n v="220"/>
    <n v="498"/>
    <n v="226"/>
    <n v="4"/>
    <s v="WF-3"/>
    <s v="Leyton Collaborative"/>
    <x v="3"/>
  </r>
  <r>
    <s v=""/>
    <x v="1"/>
    <m/>
    <s v="F86638"/>
    <n v="4108"/>
    <n v="378"/>
    <n v="365"/>
    <n v="266"/>
    <n v="263"/>
    <n v="40"/>
    <n v="61"/>
    <n v="48"/>
    <n v="9"/>
    <n v="2"/>
    <n v="210"/>
    <n v="144"/>
    <n v="139"/>
    <n v="142"/>
    <n v="781"/>
    <n v="249"/>
    <n v="532"/>
    <n v="345"/>
    <n v="198"/>
    <n v="94"/>
    <n v="265"/>
    <n v="100"/>
    <n v="32"/>
    <s v="WF-1"/>
    <s v="Chingford/ Walthamstow"/>
    <x v="4"/>
  </r>
  <r>
    <s v=""/>
    <x v="2"/>
    <m/>
    <s v="F86004"/>
    <n v="12441"/>
    <n v="680"/>
    <n v="631"/>
    <n v="373"/>
    <n v="346"/>
    <n v="36"/>
    <n v="157"/>
    <n v="110"/>
    <n v="70"/>
    <n v="65"/>
    <n v="748"/>
    <n v="455"/>
    <n v="443"/>
    <n v="448"/>
    <n v="1946"/>
    <n v="517"/>
    <n v="1429"/>
    <n v="858"/>
    <n v="550"/>
    <n v="283"/>
    <n v="814"/>
    <n v="415"/>
    <n v="1"/>
    <s v="WF-2"/>
    <s v="Chingford E4"/>
    <x v="0"/>
  </r>
  <r>
    <s v=""/>
    <x v="2"/>
    <m/>
    <s v="F86018"/>
    <n v="7774"/>
    <n v="672"/>
    <n v="624"/>
    <n v="241"/>
    <n v="438"/>
    <n v="31"/>
    <n v="107"/>
    <n v="91"/>
    <n v="2"/>
    <n v="4"/>
    <n v="392"/>
    <n v="328"/>
    <n v="327"/>
    <n v="318"/>
    <n v="1313"/>
    <n v="407"/>
    <n v="906"/>
    <n v="602"/>
    <n v="352"/>
    <n v="136"/>
    <n v="454"/>
    <n v="211"/>
    <n v="45"/>
    <s v="WF-4"/>
    <s v="Forest Integrated Health"/>
    <x v="1"/>
  </r>
  <r>
    <s v=""/>
    <x v="2"/>
    <m/>
    <s v="F86026"/>
    <n v="5624"/>
    <n v="419"/>
    <n v="389"/>
    <n v="227"/>
    <n v="316"/>
    <n v="42"/>
    <n v="74"/>
    <n v="50"/>
    <m/>
    <m/>
    <n v="360"/>
    <n v="346"/>
    <n v="196"/>
    <n v="192"/>
    <n v="701"/>
    <n v="385"/>
    <n v="316"/>
    <n v="155"/>
    <n v="219"/>
    <n v="107"/>
    <n v="327"/>
    <n v="135"/>
    <n v="26"/>
    <s v="WF-1"/>
    <s v="Chingford/ Walthamstow"/>
    <x v="2"/>
  </r>
  <r>
    <s v=""/>
    <x v="2"/>
    <m/>
    <s v="F86074"/>
    <n v="11906"/>
    <n v="869"/>
    <n v="825"/>
    <n v="602"/>
    <n v="701"/>
    <n v="76"/>
    <n v="112"/>
    <n v="86"/>
    <n v="48"/>
    <n v="36"/>
    <n v="586"/>
    <n v="385"/>
    <n v="365"/>
    <n v="353"/>
    <n v="1488"/>
    <n v="582"/>
    <n v="906"/>
    <n v="501"/>
    <n v="577"/>
    <n v="220"/>
    <n v="505"/>
    <n v="235"/>
    <n v="4"/>
    <s v="WF-3"/>
    <s v="Leyton Collaborative"/>
    <x v="3"/>
  </r>
  <r>
    <s v=""/>
    <x v="2"/>
    <m/>
    <s v="F86638"/>
    <n v="4086"/>
    <n v="373"/>
    <n v="360"/>
    <n v="209"/>
    <n v="266"/>
    <n v="33"/>
    <n v="60"/>
    <n v="39"/>
    <n v="9"/>
    <n v="1"/>
    <n v="205"/>
    <n v="109"/>
    <n v="102"/>
    <n v="106"/>
    <n v="779"/>
    <n v="235"/>
    <n v="544"/>
    <n v="301"/>
    <n v="196"/>
    <n v="92"/>
    <n v="257"/>
    <n v="94"/>
    <n v="28"/>
    <s v="WF-1"/>
    <s v="Chingford/ Walthamstow"/>
    <x v="4"/>
  </r>
  <r>
    <s v=""/>
    <x v="3"/>
    <m/>
    <s v="F86004"/>
    <n v="12403"/>
    <n v="680"/>
    <n v="630"/>
    <n v="377"/>
    <n v="329"/>
    <n v="33"/>
    <n v="158"/>
    <n v="119"/>
    <n v="85"/>
    <n v="81"/>
    <n v="747"/>
    <n v="452"/>
    <n v="438"/>
    <n v="445"/>
    <n v="1943"/>
    <n v="511"/>
    <n v="1432"/>
    <n v="870"/>
    <n v="546"/>
    <n v="278"/>
    <n v="804"/>
    <n v="414"/>
    <n v="1"/>
    <s v="WF-2"/>
    <s v="Chingford E4"/>
    <x v="0"/>
  </r>
  <r>
    <s v=""/>
    <x v="3"/>
    <m/>
    <s v="F86018"/>
    <n v="7761"/>
    <n v="673"/>
    <n v="623"/>
    <n v="256"/>
    <n v="443"/>
    <n v="29"/>
    <n v="106"/>
    <n v="89"/>
    <n v="1"/>
    <n v="3"/>
    <n v="397"/>
    <n v="313"/>
    <n v="311"/>
    <n v="301"/>
    <n v="1309"/>
    <n v="410"/>
    <n v="899"/>
    <n v="612"/>
    <n v="349"/>
    <n v="136"/>
    <n v="456"/>
    <n v="213"/>
    <n v="44"/>
    <s v="WF-4"/>
    <s v="Forest Integrated Health"/>
    <x v="1"/>
  </r>
  <r>
    <s v=""/>
    <x v="3"/>
    <m/>
    <s v="F86026"/>
    <n v="5631"/>
    <n v="414"/>
    <n v="386"/>
    <n v="236"/>
    <n v="315"/>
    <n v="52"/>
    <n v="74"/>
    <n v="49"/>
    <m/>
    <m/>
    <n v="357"/>
    <n v="342"/>
    <n v="206"/>
    <n v="201"/>
    <n v="699"/>
    <n v="385"/>
    <n v="314"/>
    <n v="158"/>
    <n v="218"/>
    <n v="107"/>
    <n v="322"/>
    <n v="127"/>
    <n v="14"/>
    <s v="WF-1"/>
    <s v="Chingford/ Walthamstow"/>
    <x v="2"/>
  </r>
  <r>
    <s v=""/>
    <x v="3"/>
    <m/>
    <s v="F86074"/>
    <n v="11865"/>
    <n v="879"/>
    <n v="837"/>
    <n v="592"/>
    <n v="705"/>
    <n v="73"/>
    <n v="111"/>
    <n v="76"/>
    <n v="43"/>
    <n v="24"/>
    <n v="584"/>
    <n v="368"/>
    <n v="343"/>
    <n v="332"/>
    <n v="1492"/>
    <n v="564"/>
    <n v="928"/>
    <n v="526"/>
    <n v="579"/>
    <n v="221"/>
    <n v="510"/>
    <n v="235"/>
    <n v="4"/>
    <s v="WF-3"/>
    <s v="Leyton Collaborative"/>
    <x v="3"/>
  </r>
  <r>
    <s v=""/>
    <x v="3"/>
    <m/>
    <s v="F86638"/>
    <n v="4091"/>
    <n v="368"/>
    <n v="356"/>
    <n v="204"/>
    <n v="261"/>
    <n v="33"/>
    <n v="59"/>
    <n v="38"/>
    <n v="8"/>
    <n v="1"/>
    <n v="203"/>
    <n v="113"/>
    <n v="104"/>
    <n v="110"/>
    <n v="775"/>
    <n v="223"/>
    <n v="552"/>
    <n v="302"/>
    <n v="191"/>
    <n v="89"/>
    <n v="250"/>
    <n v="93"/>
    <n v="5"/>
    <s v="WF-1"/>
    <s v="Chingford/ Walthamstow"/>
    <x v="4"/>
  </r>
  <r>
    <s v=""/>
    <x v="4"/>
    <m/>
    <s v="F86004"/>
    <n v="12393"/>
    <n v="683"/>
    <n v="635"/>
    <n v="393"/>
    <n v="331"/>
    <n v="37"/>
    <n v="158"/>
    <n v="125"/>
    <n v="95"/>
    <n v="90"/>
    <n v="746"/>
    <n v="448"/>
    <n v="429"/>
    <n v="442"/>
    <n v="1943"/>
    <n v="506"/>
    <n v="1437"/>
    <n v="874"/>
    <n v="544"/>
    <n v="279"/>
    <n v="809"/>
    <n v="416"/>
    <n v="1"/>
    <s v="WF-2"/>
    <s v="Chingford E4"/>
    <x v="0"/>
  </r>
  <r>
    <s v=""/>
    <x v="4"/>
    <m/>
    <s v="F86018"/>
    <n v="7763"/>
    <n v="676"/>
    <n v="625"/>
    <n v="280"/>
    <n v="446"/>
    <n v="27"/>
    <n v="106"/>
    <n v="87"/>
    <n v="1"/>
    <n v="3"/>
    <n v="396"/>
    <n v="315"/>
    <n v="312"/>
    <n v="305"/>
    <n v="1310"/>
    <n v="410"/>
    <n v="900"/>
    <n v="629"/>
    <n v="355"/>
    <n v="140"/>
    <n v="458"/>
    <n v="217"/>
    <n v="35"/>
    <s v="WF-4"/>
    <s v="Forest Integrated Health"/>
    <x v="1"/>
  </r>
  <r>
    <s v=""/>
    <x v="4"/>
    <m/>
    <s v="F86026"/>
    <n v="5585"/>
    <n v="411"/>
    <n v="384"/>
    <n v="237"/>
    <n v="305"/>
    <n v="52"/>
    <n v="71"/>
    <n v="49"/>
    <m/>
    <m/>
    <n v="351"/>
    <n v="334"/>
    <n v="208"/>
    <n v="202"/>
    <n v="698"/>
    <n v="382"/>
    <n v="316"/>
    <n v="161"/>
    <n v="217"/>
    <n v="105"/>
    <n v="324"/>
    <n v="130"/>
    <n v="14"/>
    <s v="WF-1"/>
    <s v="Chingford/ Walthamstow"/>
    <x v="2"/>
  </r>
  <r>
    <s v=""/>
    <x v="4"/>
    <m/>
    <s v="F86074"/>
    <n v="11862"/>
    <n v="877"/>
    <n v="835"/>
    <n v="646"/>
    <n v="703"/>
    <n v="79"/>
    <n v="113"/>
    <n v="66"/>
    <n v="35"/>
    <n v="31"/>
    <n v="578"/>
    <n v="354"/>
    <n v="345"/>
    <n v="318"/>
    <n v="1485"/>
    <n v="595"/>
    <n v="890"/>
    <n v="530"/>
    <n v="577"/>
    <n v="222"/>
    <n v="505"/>
    <n v="235"/>
    <n v="4"/>
    <s v="WF-3"/>
    <s v="Leyton Collaborative"/>
    <x v="3"/>
  </r>
  <r>
    <s v=""/>
    <x v="4"/>
    <m/>
    <s v="F86638"/>
    <n v="4085"/>
    <n v="372"/>
    <n v="360"/>
    <n v="216"/>
    <n v="264"/>
    <n v="35"/>
    <n v="58"/>
    <n v="30"/>
    <n v="1"/>
    <m/>
    <n v="207"/>
    <n v="115"/>
    <n v="109"/>
    <n v="112"/>
    <n v="774"/>
    <n v="256"/>
    <n v="518"/>
    <n v="343"/>
    <n v="192"/>
    <n v="92"/>
    <n v="256"/>
    <n v="96"/>
    <n v="6"/>
    <s v="WF-1"/>
    <s v="Chingford/ Walthamstow"/>
    <x v="4"/>
  </r>
  <r>
    <s v=""/>
    <x v="5"/>
    <m/>
    <s v="F86004"/>
    <n v="12416"/>
    <n v="694"/>
    <n v="645"/>
    <n v="413"/>
    <n v="323"/>
    <n v="42"/>
    <n v="160"/>
    <n v="133"/>
    <n v="106"/>
    <n v="98"/>
    <n v="752"/>
    <n v="468"/>
    <n v="447"/>
    <n v="461"/>
    <n v="1954"/>
    <n v="510"/>
    <n v="1444"/>
    <n v="901"/>
    <n v="547"/>
    <n v="282"/>
    <n v="809"/>
    <n v="413"/>
    <n v="1"/>
    <s v="WF-2"/>
    <s v="Chingford E4"/>
    <x v="0"/>
  </r>
  <r>
    <s v=""/>
    <x v="5"/>
    <m/>
    <s v="F86018"/>
    <n v="7752"/>
    <n v="674"/>
    <n v="624"/>
    <n v="304"/>
    <n v="442"/>
    <n v="31"/>
    <n v="106"/>
    <n v="85"/>
    <n v="1"/>
    <n v="3"/>
    <n v="405"/>
    <n v="292"/>
    <n v="288"/>
    <n v="285"/>
    <n v="1314"/>
    <n v="412"/>
    <n v="902"/>
    <n v="629"/>
    <n v="360"/>
    <n v="143"/>
    <n v="455"/>
    <n v="215"/>
    <n v="30"/>
    <s v="WF-4"/>
    <s v="Forest Integrated Health"/>
    <x v="1"/>
  </r>
  <r>
    <s v=""/>
    <x v="5"/>
    <m/>
    <s v="F86026"/>
    <n v="5587"/>
    <n v="414"/>
    <n v="387"/>
    <n v="226"/>
    <n v="285"/>
    <n v="49"/>
    <n v="70"/>
    <n v="52"/>
    <m/>
    <m/>
    <n v="353"/>
    <n v="335"/>
    <n v="232"/>
    <n v="228"/>
    <n v="696"/>
    <n v="375"/>
    <n v="321"/>
    <n v="163"/>
    <n v="215"/>
    <n v="106"/>
    <n v="326"/>
    <n v="134"/>
    <m/>
    <s v="WF-1"/>
    <s v="Chingford/ Walthamstow"/>
    <x v="2"/>
  </r>
  <r>
    <s v=""/>
    <x v="5"/>
    <m/>
    <s v="F86074"/>
    <n v="11782"/>
    <n v="868"/>
    <n v="828"/>
    <n v="609"/>
    <n v="691"/>
    <n v="73"/>
    <n v="115"/>
    <n v="73"/>
    <n v="22"/>
    <n v="52"/>
    <n v="573"/>
    <n v="373"/>
    <n v="365"/>
    <n v="340"/>
    <n v="1486"/>
    <n v="631"/>
    <n v="855"/>
    <n v="506"/>
    <n v="580"/>
    <n v="222"/>
    <n v="507"/>
    <n v="235"/>
    <n v="4"/>
    <s v="WF-3"/>
    <s v="Leyton Collaborative"/>
    <x v="3"/>
  </r>
  <r>
    <s v=""/>
    <x v="5"/>
    <m/>
    <s v="F86638"/>
    <n v="4067"/>
    <n v="373"/>
    <n v="361"/>
    <n v="214"/>
    <n v="267"/>
    <n v="36"/>
    <n v="58"/>
    <n v="29"/>
    <n v="1"/>
    <m/>
    <n v="206"/>
    <n v="100"/>
    <n v="95"/>
    <n v="98"/>
    <n v="775"/>
    <n v="243"/>
    <n v="532"/>
    <n v="343"/>
    <n v="194"/>
    <n v="93"/>
    <n v="257"/>
    <n v="97"/>
    <n v="1"/>
    <s v="WF-1"/>
    <s v="Chingford/ Walthamstow"/>
    <x v="4"/>
  </r>
  <r>
    <s v=""/>
    <x v="6"/>
    <m/>
    <s v="F86004"/>
    <n v="12435"/>
    <n v="705"/>
    <n v="652"/>
    <n v="441"/>
    <n v="316"/>
    <n v="39"/>
    <n v="161"/>
    <n v="140"/>
    <n v="117"/>
    <n v="106"/>
    <n v="756"/>
    <n v="482"/>
    <n v="455"/>
    <n v="476"/>
    <n v="1975"/>
    <n v="511"/>
    <n v="1464"/>
    <n v="920"/>
    <n v="545"/>
    <n v="283"/>
    <n v="820"/>
    <n v="430"/>
    <n v="2"/>
    <s v="WF-2"/>
    <s v="Chingford E4"/>
    <x v="0"/>
  </r>
  <r>
    <s v=""/>
    <x v="6"/>
    <m/>
    <s v="F86018"/>
    <n v="7767"/>
    <n v="676"/>
    <n v="627"/>
    <n v="330"/>
    <n v="439"/>
    <n v="31"/>
    <n v="102"/>
    <n v="72"/>
    <n v="1"/>
    <n v="1"/>
    <n v="402"/>
    <n v="251"/>
    <n v="247"/>
    <n v="239"/>
    <n v="1324"/>
    <n v="401"/>
    <n v="923"/>
    <n v="637"/>
    <n v="359"/>
    <n v="141"/>
    <n v="461"/>
    <n v="219"/>
    <m/>
    <s v="WF-4"/>
    <s v="Forest Integrated Health"/>
    <x v="1"/>
  </r>
  <r>
    <s v=""/>
    <x v="6"/>
    <m/>
    <s v="F86026"/>
    <n v="5585"/>
    <n v="410"/>
    <n v="383"/>
    <n v="221"/>
    <n v="281"/>
    <n v="51"/>
    <n v="70"/>
    <n v="50"/>
    <m/>
    <m/>
    <n v="356"/>
    <n v="340"/>
    <n v="251"/>
    <n v="248"/>
    <n v="692"/>
    <n v="357"/>
    <n v="335"/>
    <n v="163"/>
    <n v="212"/>
    <n v="104"/>
    <n v="323"/>
    <n v="129"/>
    <m/>
    <s v="WF-1"/>
    <s v="Chingford/ Walthamstow"/>
    <x v="2"/>
  </r>
  <r>
    <s v=""/>
    <x v="6"/>
    <m/>
    <s v="F86074"/>
    <n v="11775"/>
    <n v="869"/>
    <n v="827"/>
    <n v="630"/>
    <n v="682"/>
    <n v="75"/>
    <n v="116"/>
    <n v="84"/>
    <n v="20"/>
    <n v="63"/>
    <n v="576"/>
    <n v="442"/>
    <n v="436"/>
    <n v="435"/>
    <n v="1480"/>
    <n v="655"/>
    <n v="825"/>
    <n v="513"/>
    <n v="578"/>
    <n v="220"/>
    <n v="514"/>
    <n v="238"/>
    <n v="3"/>
    <s v="WF-3"/>
    <s v="Leyton Collaborative"/>
    <x v="3"/>
  </r>
  <r>
    <s v=""/>
    <x v="6"/>
    <m/>
    <s v="F86638"/>
    <n v="4056"/>
    <n v="377"/>
    <n v="364"/>
    <n v="240"/>
    <n v="271"/>
    <n v="41"/>
    <n v="71"/>
    <n v="66"/>
    <n v="5"/>
    <m/>
    <n v="213"/>
    <n v="137"/>
    <n v="135"/>
    <n v="136"/>
    <n v="779"/>
    <n v="290"/>
    <n v="489"/>
    <n v="340"/>
    <n v="196"/>
    <n v="96"/>
    <n v="258"/>
    <n v="97"/>
    <n v="1"/>
    <s v="WF-1"/>
    <s v="Chingford/ Walthamstow"/>
    <x v="4"/>
  </r>
  <r>
    <s v="WF_LTC_SNS"/>
    <x v="7"/>
    <d v="2021-07-09T00:00:00"/>
    <s v="F86001"/>
    <n v="6207"/>
    <n v="505"/>
    <n v="475"/>
    <n v="166"/>
    <n v="336"/>
    <n v="27"/>
    <n v="90"/>
    <n v="47"/>
    <n v="22"/>
    <n v="30"/>
    <n v="337"/>
    <n v="133"/>
    <n v="127"/>
    <n v="124"/>
    <n v="906"/>
    <n v="276"/>
    <n v="630"/>
    <n v="58"/>
    <n v="235"/>
    <n v="102"/>
    <n v="307"/>
    <n v="131"/>
    <n v="14"/>
    <s v="WF-6"/>
    <s v="Central Walthamstow"/>
    <x v="5"/>
  </r>
  <r>
    <s v="WF_LTC_SNS"/>
    <x v="7"/>
    <d v="2021-07-09T00:00:00"/>
    <s v="F86004"/>
    <n v="12516"/>
    <n v="677"/>
    <n v="634"/>
    <n v="265"/>
    <n v="441"/>
    <n v="0"/>
    <n v="159"/>
    <n v="144"/>
    <n v="94"/>
    <n v="84"/>
    <n v="751"/>
    <n v="510"/>
    <n v="475"/>
    <n v="474"/>
    <n v="1955"/>
    <n v="205"/>
    <n v="1750"/>
    <n v="984"/>
    <n v="548"/>
    <n v="272"/>
    <n v="813"/>
    <n v="412"/>
    <n v="412"/>
    <s v="WF-2"/>
    <s v="Chingford E4"/>
    <x v="0"/>
  </r>
  <r>
    <s v="WF_LTC_SNS"/>
    <x v="7"/>
    <d v="2021-07-09T00:00:00"/>
    <s v="F86005"/>
    <n v="6950"/>
    <n v="346"/>
    <n v="318"/>
    <n v="107"/>
    <n v="226"/>
    <n v="36"/>
    <n v="111"/>
    <n v="94"/>
    <n v="35"/>
    <n v="57"/>
    <n v="348"/>
    <n v="225"/>
    <n v="218"/>
    <n v="209"/>
    <n v="792"/>
    <n v="423"/>
    <n v="369"/>
    <n v="74"/>
    <n v="156"/>
    <n v="82"/>
    <n v="265"/>
    <n v="135"/>
    <n v="21"/>
    <s v="WF-1"/>
    <s v="Chingford/ Walthamstow"/>
    <x v="6"/>
  </r>
  <r>
    <s v="WF_LTC_SNS"/>
    <x v="7"/>
    <d v="2021-07-09T00:00:00"/>
    <s v="F86006"/>
    <n v="5179"/>
    <n v="418"/>
    <n v="398"/>
    <n v="234"/>
    <n v="276"/>
    <n v="27"/>
    <n v="57"/>
    <n v="42"/>
    <n v="24"/>
    <n v="29"/>
    <n v="241"/>
    <n v="117"/>
    <n v="87"/>
    <n v="89"/>
    <n v="809"/>
    <n v="337"/>
    <n v="472"/>
    <n v="105"/>
    <n v="170"/>
    <n v="92"/>
    <n v="290"/>
    <n v="136"/>
    <n v="5"/>
    <s v="WF-7"/>
    <s v="Walthamstow West"/>
    <x v="7"/>
  </r>
  <r>
    <s v="WF_LTC_SNS"/>
    <x v="7"/>
    <d v="2021-07-09T00:00:00"/>
    <s v="F86011"/>
    <n v="7752"/>
    <n v="731"/>
    <n v="694"/>
    <n v="528"/>
    <n v="343"/>
    <n v="71"/>
    <n v="101"/>
    <n v="95"/>
    <n v="91"/>
    <n v="78"/>
    <n v="334"/>
    <n v="279"/>
    <n v="271"/>
    <n v="271"/>
    <n v="1144"/>
    <n v="585"/>
    <n v="559"/>
    <n v="82"/>
    <n v="350"/>
    <n v="189"/>
    <n v="493"/>
    <n v="231"/>
    <n v="51"/>
    <s v="WF-3"/>
    <s v="Leyton Collaborative"/>
    <x v="8"/>
  </r>
  <r>
    <s v="WF_LTC_SNS"/>
    <x v="7"/>
    <d v="2021-07-09T00:00:00"/>
    <s v="F86018"/>
    <n v="7802"/>
    <n v="670"/>
    <n v="622"/>
    <n v="139"/>
    <n v="455"/>
    <n v="0"/>
    <n v="108"/>
    <n v="89"/>
    <n v="4"/>
    <n v="3"/>
    <n v="397"/>
    <n v="278"/>
    <n v="273"/>
    <n v="264"/>
    <n v="1308"/>
    <n v="218"/>
    <n v="1090"/>
    <n v="688"/>
    <n v="345"/>
    <n v="119"/>
    <n v="465"/>
    <n v="216"/>
    <n v="170"/>
    <s v="WF-4"/>
    <s v="Forest Integrated Health"/>
    <x v="1"/>
  </r>
  <r>
    <s v="WF_LTC_SNS"/>
    <x v="7"/>
    <d v="2021-07-09T00:00:00"/>
    <s v="F86026"/>
    <n v="5617"/>
    <n v="409"/>
    <n v="381"/>
    <n v="259"/>
    <n v="319"/>
    <n v="1"/>
    <n v="76"/>
    <n v="72"/>
    <n v="0"/>
    <n v="0"/>
    <n v="360"/>
    <n v="284"/>
    <n v="274"/>
    <n v="270"/>
    <n v="718"/>
    <n v="216"/>
    <n v="502"/>
    <n v="371"/>
    <n v="220"/>
    <n v="104"/>
    <n v="346"/>
    <n v="129"/>
    <n v="105"/>
    <s v="WF-1"/>
    <s v="Chingford/ Walthamstow"/>
    <x v="2"/>
  </r>
  <r>
    <s v="WF_LTC_SNS"/>
    <x v="7"/>
    <d v="2021-07-09T00:00:00"/>
    <s v="F86030"/>
    <n v="6231"/>
    <n v="552"/>
    <n v="537"/>
    <n v="473"/>
    <n v="448"/>
    <n v="134"/>
    <n v="38"/>
    <n v="13"/>
    <n v="9"/>
    <n v="11"/>
    <n v="340"/>
    <n v="258"/>
    <n v="201"/>
    <n v="221"/>
    <n v="708"/>
    <n v="353"/>
    <n v="355"/>
    <n v="62"/>
    <n v="204"/>
    <n v="128"/>
    <n v="335"/>
    <n v="157"/>
    <n v="12"/>
    <s v="WF-7"/>
    <s v="Walthamstow West"/>
    <x v="9"/>
  </r>
  <r>
    <s v="WF_LTC_SNS"/>
    <x v="7"/>
    <d v="2021-07-09T00:00:00"/>
    <s v="F86036"/>
    <n v="12294"/>
    <n v="791"/>
    <n v="721"/>
    <n v="219"/>
    <n v="608"/>
    <n v="50"/>
    <n v="116"/>
    <n v="77"/>
    <n v="28"/>
    <n v="43"/>
    <n v="599"/>
    <n v="206"/>
    <n v="153"/>
    <n v="77"/>
    <n v="1450"/>
    <n v="323"/>
    <n v="1127"/>
    <n v="67"/>
    <n v="346"/>
    <n v="153"/>
    <n v="547"/>
    <n v="209"/>
    <n v="53"/>
    <s v="WF-4"/>
    <s v="Forest Integrated Health"/>
    <x v="10"/>
  </r>
  <r>
    <s v="WF_LTC_SNS"/>
    <x v="7"/>
    <d v="2021-07-09T00:00:00"/>
    <s v="F86038"/>
    <n v="8523"/>
    <n v="790"/>
    <n v="762"/>
    <n v="559"/>
    <n v="432"/>
    <n v="66"/>
    <n v="48"/>
    <n v="45"/>
    <n v="43"/>
    <n v="33"/>
    <n v="435"/>
    <n v="367"/>
    <n v="363"/>
    <n v="361"/>
    <n v="1101"/>
    <n v="468"/>
    <n v="633"/>
    <n v="128"/>
    <n v="339"/>
    <n v="177"/>
    <n v="439"/>
    <n v="191"/>
    <n v="65"/>
    <s v="WF-3"/>
    <s v="Leyton Collaborative"/>
    <x v="11"/>
  </r>
  <r>
    <s v="WF_LTC_SNS"/>
    <x v="7"/>
    <d v="2021-07-09T00:00:00"/>
    <s v="F86044"/>
    <n v="7953"/>
    <n v="383"/>
    <n v="352"/>
    <n v="191"/>
    <n v="171"/>
    <n v="12"/>
    <n v="33"/>
    <n v="31"/>
    <n v="26"/>
    <n v="29"/>
    <n v="329"/>
    <n v="264"/>
    <n v="253"/>
    <n v="88"/>
    <n v="746"/>
    <n v="239"/>
    <n v="507"/>
    <n v="69"/>
    <n v="145"/>
    <n v="85"/>
    <n v="245"/>
    <n v="134"/>
    <n v="28"/>
    <s v="WF-4"/>
    <s v="Forest Integrated Health"/>
    <x v="12"/>
  </r>
  <r>
    <s v="WF_LTC_SNS"/>
    <x v="7"/>
    <d v="2021-07-09T00:00:00"/>
    <s v="F86045"/>
    <n v="1656"/>
    <n v="127"/>
    <n v="124"/>
    <n v="110"/>
    <n v="105"/>
    <n v="14"/>
    <n v="21"/>
    <n v="20"/>
    <n v="14"/>
    <n v="3"/>
    <n v="86"/>
    <n v="67"/>
    <n v="67"/>
    <n v="66"/>
    <n v="265"/>
    <n v="110"/>
    <n v="155"/>
    <n v="25"/>
    <n v="73"/>
    <n v="30"/>
    <n v="76"/>
    <n v="22"/>
    <n v="11"/>
    <s v="WF-5"/>
    <s v="South Leytonstone"/>
    <x v="13"/>
  </r>
  <r>
    <s v="WF_LTC_SNS"/>
    <x v="7"/>
    <d v="2021-07-09T00:00:00"/>
    <s v="F86058"/>
    <n v="12221"/>
    <n v="752"/>
    <n v="702"/>
    <n v="273"/>
    <n v="566"/>
    <n v="57"/>
    <n v="103"/>
    <n v="4"/>
    <n v="0"/>
    <n v="1"/>
    <n v="555"/>
    <n v="392"/>
    <n v="183"/>
    <n v="31"/>
    <n v="1445"/>
    <n v="581"/>
    <n v="864"/>
    <n v="96"/>
    <n v="329"/>
    <n v="180"/>
    <n v="482"/>
    <n v="248"/>
    <n v="18"/>
    <s v="WF-7"/>
    <s v="Walthamstow West"/>
    <x v="14"/>
  </r>
  <r>
    <s v="WF_LTC_SNS"/>
    <x v="7"/>
    <d v="2021-07-09T00:00:00"/>
    <s v="F86062"/>
    <n v="5884"/>
    <n v="451"/>
    <n v="427"/>
    <n v="140"/>
    <n v="307"/>
    <n v="45"/>
    <n v="65"/>
    <n v="19"/>
    <n v="1"/>
    <n v="4"/>
    <n v="259"/>
    <n v="121"/>
    <n v="71"/>
    <n v="45"/>
    <n v="819"/>
    <n v="259"/>
    <n v="560"/>
    <n v="53"/>
    <n v="202"/>
    <n v="105"/>
    <n v="294"/>
    <n v="153"/>
    <n v="33"/>
    <s v="WF-7"/>
    <s v="Walthamstow West"/>
    <x v="15"/>
  </r>
  <r>
    <s v="WF_LTC_SNS"/>
    <x v="7"/>
    <d v="2021-07-09T00:00:00"/>
    <s v="F86074"/>
    <n v="11863"/>
    <n v="859"/>
    <n v="821"/>
    <n v="664"/>
    <n v="671"/>
    <n v="2"/>
    <n v="113"/>
    <n v="106"/>
    <n v="44"/>
    <n v="73"/>
    <n v="582"/>
    <n v="371"/>
    <n v="356"/>
    <n v="361"/>
    <n v="1489"/>
    <n v="524"/>
    <n v="965"/>
    <n v="678"/>
    <n v="576"/>
    <n v="208"/>
    <n v="527"/>
    <n v="247"/>
    <n v="246"/>
    <s v="WF-3"/>
    <s v="Leyton Collaborative"/>
    <x v="3"/>
  </r>
  <r>
    <s v="WF_LTC_SNS"/>
    <x v="7"/>
    <d v="2021-07-09T00:00:00"/>
    <s v="F86078"/>
    <n v="5732"/>
    <n v="346"/>
    <n v="318"/>
    <n v="149"/>
    <n v="213"/>
    <n v="20"/>
    <n v="74"/>
    <n v="36"/>
    <n v="7"/>
    <n v="27"/>
    <n v="330"/>
    <n v="246"/>
    <n v="152"/>
    <n v="100"/>
    <n v="1104"/>
    <n v="385"/>
    <n v="719"/>
    <n v="30"/>
    <n v="284"/>
    <n v="123"/>
    <n v="492"/>
    <n v="279"/>
    <n v="18"/>
    <s v="WF-2"/>
    <s v="Chingford E4"/>
    <x v="16"/>
  </r>
  <r>
    <s v="WF_LTC_SNS"/>
    <x v="7"/>
    <d v="2021-07-09T00:00:00"/>
    <s v="F86086"/>
    <n v="4556"/>
    <n v="304"/>
    <n v="290"/>
    <n v="47"/>
    <n v="203"/>
    <n v="1"/>
    <n v="33"/>
    <n v="11"/>
    <n v="1"/>
    <n v="5"/>
    <n v="197"/>
    <n v="6"/>
    <n v="4"/>
    <n v="3"/>
    <n v="500"/>
    <n v="50"/>
    <n v="450"/>
    <n v="18"/>
    <n v="135"/>
    <n v="76"/>
    <n v="182"/>
    <n v="90"/>
    <n v="1"/>
    <s v="WF-6"/>
    <s v="Central Walthamstow"/>
    <x v="17"/>
  </r>
  <r>
    <s v="WF_LTC_SNS"/>
    <x v="7"/>
    <d v="2021-07-09T00:00:00"/>
    <s v="F86088"/>
    <n v="3968"/>
    <n v="359"/>
    <n v="341"/>
    <n v="27"/>
    <n v="194"/>
    <n v="18"/>
    <n v="36"/>
    <n v="11"/>
    <n v="0"/>
    <n v="0"/>
    <n v="204"/>
    <n v="63"/>
    <n v="30"/>
    <n v="12"/>
    <n v="655"/>
    <n v="202"/>
    <n v="453"/>
    <n v="19"/>
    <n v="130"/>
    <n v="54"/>
    <n v="204"/>
    <n v="118"/>
    <n v="23"/>
    <s v="WF-4"/>
    <s v="Forest Integrated Health"/>
    <x v="18"/>
  </r>
  <r>
    <s v="WF_LTC_SNS"/>
    <x v="7"/>
    <d v="2021-07-09T00:00:00"/>
    <s v="F86607"/>
    <n v="10981"/>
    <n v="646"/>
    <n v="610"/>
    <n v="390"/>
    <n v="352"/>
    <n v="28"/>
    <n v="94"/>
    <n v="75"/>
    <n v="44"/>
    <n v="43"/>
    <n v="637"/>
    <n v="370"/>
    <n v="279"/>
    <n v="217"/>
    <n v="1237"/>
    <n v="540"/>
    <n v="697"/>
    <n v="84"/>
    <n v="307"/>
    <n v="142"/>
    <n v="435"/>
    <n v="198"/>
    <n v="3"/>
    <s v="WF-6"/>
    <s v="Central Walthamstow"/>
    <x v="19"/>
  </r>
  <r>
    <s v="WF_LTC_SNS"/>
    <x v="7"/>
    <d v="2021-07-09T00:00:00"/>
    <s v="F86616"/>
    <n v="5727"/>
    <n v="332"/>
    <n v="305"/>
    <n v="262"/>
    <n v="91"/>
    <n v="13"/>
    <n v="68"/>
    <n v="44"/>
    <n v="36"/>
    <n v="1"/>
    <n v="345"/>
    <n v="229"/>
    <n v="203"/>
    <n v="172"/>
    <n v="809"/>
    <n v="487"/>
    <n v="322"/>
    <n v="62"/>
    <n v="238"/>
    <n v="109"/>
    <n v="366"/>
    <n v="183"/>
    <n v="1"/>
    <s v="WF-2"/>
    <s v="Chingford E4"/>
    <x v="20"/>
  </r>
  <r>
    <s v="WF_LTC_SNS"/>
    <x v="7"/>
    <d v="2021-07-09T00:00:00"/>
    <s v="F86621"/>
    <n v="5142"/>
    <n v="304"/>
    <n v="289"/>
    <n v="195"/>
    <n v="242"/>
    <n v="66"/>
    <n v="31"/>
    <n v="26"/>
    <n v="23"/>
    <n v="23"/>
    <n v="248"/>
    <n v="178"/>
    <n v="175"/>
    <n v="165"/>
    <n v="602"/>
    <n v="266"/>
    <n v="336"/>
    <n v="27"/>
    <n v="151"/>
    <n v="63"/>
    <n v="263"/>
    <n v="123"/>
    <n v="4"/>
    <s v="WF-5"/>
    <s v="South Leytonstone"/>
    <x v="21"/>
  </r>
  <r>
    <s v="WF_LTC_SNS"/>
    <x v="7"/>
    <d v="2021-07-09T00:00:00"/>
    <s v="F86625"/>
    <n v="4685"/>
    <n v="418"/>
    <n v="399"/>
    <n v="302"/>
    <n v="306"/>
    <n v="50"/>
    <n v="54"/>
    <n v="49"/>
    <n v="46"/>
    <n v="24"/>
    <n v="249"/>
    <n v="219"/>
    <n v="211"/>
    <n v="202"/>
    <n v="697"/>
    <n v="332"/>
    <n v="365"/>
    <n v="128"/>
    <n v="200"/>
    <n v="80"/>
    <n v="274"/>
    <n v="147"/>
    <n v="4"/>
    <s v="WF-5"/>
    <s v="South Leytonstone"/>
    <x v="22"/>
  </r>
  <r>
    <s v="WF_LTC_SNS"/>
    <x v="7"/>
    <d v="2021-07-09T00:00:00"/>
    <s v="F86626"/>
    <n v="5033"/>
    <n v="278"/>
    <n v="263"/>
    <n v="187"/>
    <n v="176"/>
    <n v="26"/>
    <n v="25"/>
    <n v="22"/>
    <n v="7"/>
    <n v="4"/>
    <n v="183"/>
    <n v="145"/>
    <n v="139"/>
    <n v="136"/>
    <n v="512"/>
    <n v="314"/>
    <n v="198"/>
    <n v="39"/>
    <n v="108"/>
    <n v="47"/>
    <n v="168"/>
    <n v="93"/>
    <n v="15"/>
    <s v="WF-1"/>
    <s v="Chingford/ Walthamstow"/>
    <x v="23"/>
  </r>
  <r>
    <s v="WF_LTC_SNS"/>
    <x v="7"/>
    <d v="2021-07-09T00:00:00"/>
    <s v="F86627"/>
    <n v="10743"/>
    <n v="800"/>
    <n v="757"/>
    <n v="371"/>
    <n v="264"/>
    <n v="17"/>
    <n v="231"/>
    <n v="192"/>
    <n v="94"/>
    <n v="160"/>
    <n v="732"/>
    <n v="408"/>
    <n v="386"/>
    <n v="341"/>
    <n v="1845"/>
    <n v="720"/>
    <n v="1125"/>
    <n v="152"/>
    <n v="606"/>
    <n v="258"/>
    <n v="828"/>
    <n v="392"/>
    <n v="80"/>
    <s v="WF-2"/>
    <s v="Chingford E4"/>
    <x v="24"/>
  </r>
  <r>
    <s v="WF_LTC_SNS"/>
    <x v="7"/>
    <d v="2021-07-09T00:00:00"/>
    <s v="F86638"/>
    <n v="4108"/>
    <n v="375"/>
    <n v="362"/>
    <n v="217"/>
    <n v="273"/>
    <n v="0"/>
    <n v="64"/>
    <n v="58"/>
    <n v="9"/>
    <n v="2"/>
    <n v="213"/>
    <n v="151"/>
    <n v="146"/>
    <n v="137"/>
    <n v="785"/>
    <n v="172"/>
    <n v="613"/>
    <n v="458"/>
    <n v="198"/>
    <n v="88"/>
    <n v="269"/>
    <n v="101"/>
    <n v="69"/>
    <s v="WF-1"/>
    <s v="Chingford/ Walthamstow"/>
    <x v="4"/>
  </r>
  <r>
    <s v="WF_LTC_SNS"/>
    <x v="7"/>
    <d v="2021-07-09T00:00:00"/>
    <s v="F86644"/>
    <n v="7446"/>
    <n v="525"/>
    <n v="504"/>
    <n v="170"/>
    <n v="349"/>
    <n v="29"/>
    <n v="96"/>
    <n v="41"/>
    <n v="25"/>
    <n v="29"/>
    <n v="369"/>
    <n v="150"/>
    <n v="112"/>
    <n v="100"/>
    <n v="1131"/>
    <n v="379"/>
    <n v="752"/>
    <n v="72"/>
    <n v="257"/>
    <n v="112"/>
    <n v="405"/>
    <n v="190"/>
    <n v="17"/>
    <s v="WF-6"/>
    <s v="Central Walthamstow"/>
    <x v="25"/>
  </r>
  <r>
    <s v="WF_LTC_SNS"/>
    <x v="7"/>
    <d v="2021-07-09T00:00:00"/>
    <s v="F86650"/>
    <n v="6279"/>
    <n v="496"/>
    <n v="465"/>
    <n v="233"/>
    <n v="390"/>
    <n v="39"/>
    <n v="61"/>
    <n v="48"/>
    <n v="43"/>
    <n v="45"/>
    <n v="340"/>
    <n v="254"/>
    <n v="253"/>
    <n v="231"/>
    <n v="700"/>
    <n v="220"/>
    <n v="480"/>
    <n v="37"/>
    <n v="191"/>
    <n v="91"/>
    <n v="320"/>
    <n v="154"/>
    <n v="29"/>
    <s v="WF-4"/>
    <s v="Forest Integrated Health"/>
    <x v="26"/>
  </r>
  <r>
    <s v="WF_LTC_SNS"/>
    <x v="7"/>
    <d v="2021-07-09T00:00:00"/>
    <s v="F86664"/>
    <n v="6495"/>
    <n v="414"/>
    <n v="376"/>
    <n v="163"/>
    <n v="277"/>
    <n v="26"/>
    <n v="99"/>
    <n v="80"/>
    <n v="51"/>
    <n v="46"/>
    <n v="323"/>
    <n v="266"/>
    <n v="258"/>
    <n v="251"/>
    <n v="878"/>
    <n v="391"/>
    <n v="487"/>
    <n v="17"/>
    <n v="266"/>
    <n v="87"/>
    <n v="396"/>
    <n v="198"/>
    <n v="33"/>
    <s v="WF-1"/>
    <s v="Chingford/ Walthamstow"/>
    <x v="27"/>
  </r>
  <r>
    <s v="WF_LTC_SNS"/>
    <x v="7"/>
    <d v="2021-07-09T00:00:00"/>
    <s v="F86666"/>
    <n v="11707"/>
    <n v="865"/>
    <n v="828"/>
    <n v="508"/>
    <n v="530"/>
    <n v="79"/>
    <n v="123"/>
    <n v="81"/>
    <n v="64"/>
    <n v="67"/>
    <n v="558"/>
    <n v="364"/>
    <n v="338"/>
    <n v="294"/>
    <n v="1788"/>
    <n v="864"/>
    <n v="924"/>
    <n v="243"/>
    <n v="318"/>
    <n v="166"/>
    <n v="420"/>
    <n v="240"/>
    <n v="19"/>
    <s v="WF-5"/>
    <s v="South Leytonstone"/>
    <x v="28"/>
  </r>
  <r>
    <s v="WF_LTC_SNS"/>
    <x v="7"/>
    <d v="2021-07-09T00:00:00"/>
    <s v="F86679"/>
    <n v="4384"/>
    <n v="226"/>
    <n v="214"/>
    <n v="182"/>
    <n v="148"/>
    <n v="57"/>
    <n v="28"/>
    <n v="28"/>
    <n v="27"/>
    <n v="9"/>
    <n v="198"/>
    <n v="188"/>
    <n v="185"/>
    <n v="160"/>
    <n v="466"/>
    <n v="286"/>
    <n v="180"/>
    <n v="23"/>
    <n v="82"/>
    <n v="44"/>
    <n v="124"/>
    <n v="60"/>
    <n v="6"/>
    <s v="WF-7"/>
    <s v="Walthamstow West"/>
    <x v="29"/>
  </r>
  <r>
    <s v="WF_LTC_SNS"/>
    <x v="7"/>
    <d v="2021-07-09T00:00:00"/>
    <s v="F86689"/>
    <n v="3238"/>
    <n v="123"/>
    <n v="111"/>
    <n v="79"/>
    <n v="65"/>
    <n v="13"/>
    <n v="41"/>
    <n v="30"/>
    <n v="8"/>
    <n v="0"/>
    <n v="187"/>
    <n v="114"/>
    <n v="113"/>
    <n v="113"/>
    <n v="298"/>
    <n v="175"/>
    <n v="123"/>
    <n v="18"/>
    <n v="72"/>
    <n v="30"/>
    <n v="104"/>
    <n v="52"/>
    <n v="16"/>
    <s v="WF-1"/>
    <s v="Chingford/ Walthamstow"/>
    <x v="30"/>
  </r>
  <r>
    <s v="WF_LTC_SNS"/>
    <x v="7"/>
    <d v="2021-07-09T00:00:00"/>
    <s v="F86696"/>
    <n v="5176"/>
    <n v="350"/>
    <n v="335"/>
    <n v="288"/>
    <n v="93"/>
    <n v="10"/>
    <n v="24"/>
    <n v="22"/>
    <n v="12"/>
    <n v="22"/>
    <n v="228"/>
    <n v="196"/>
    <n v="179"/>
    <n v="91"/>
    <n v="577"/>
    <n v="340"/>
    <n v="237"/>
    <n v="95"/>
    <n v="136"/>
    <n v="70"/>
    <n v="197"/>
    <n v="103"/>
    <n v="18"/>
    <s v="WF-4"/>
    <s v="Forest Integrated Health"/>
    <x v="31"/>
  </r>
  <r>
    <s v="WF_LTC_SNS"/>
    <x v="7"/>
    <d v="2021-07-09T00:00:00"/>
    <s v="F86700"/>
    <n v="3068"/>
    <n v="214"/>
    <n v="196"/>
    <n v="152"/>
    <n v="70"/>
    <n v="9"/>
    <n v="113"/>
    <n v="84"/>
    <n v="42"/>
    <n v="3"/>
    <n v="214"/>
    <n v="165"/>
    <n v="154"/>
    <n v="103"/>
    <n v="767"/>
    <n v="489"/>
    <n v="278"/>
    <n v="33"/>
    <n v="214"/>
    <n v="74"/>
    <n v="265"/>
    <n v="155"/>
    <n v="33"/>
    <s v="WF-1"/>
    <s v="Chingford/ Walthamstow"/>
    <x v="32"/>
  </r>
  <r>
    <s v="WF_LTC_SNS"/>
    <x v="7"/>
    <d v="2021-07-09T00:00:00"/>
    <s v="F86701"/>
    <n v="2973"/>
    <n v="237"/>
    <n v="225"/>
    <n v="184"/>
    <n v="171"/>
    <n v="36"/>
    <n v="24"/>
    <n v="22"/>
    <n v="12"/>
    <n v="18"/>
    <n v="126"/>
    <n v="108"/>
    <n v="100"/>
    <n v="90"/>
    <n v="444"/>
    <n v="254"/>
    <n v="190"/>
    <n v="39"/>
    <n v="89"/>
    <n v="44"/>
    <n v="116"/>
    <n v="75"/>
    <n v="12"/>
    <s v="WF-5"/>
    <s v="South Leytonstone"/>
    <x v="33"/>
  </r>
  <r>
    <s v="WF_LTC_SNS"/>
    <x v="7"/>
    <d v="2021-07-09T00:00:00"/>
    <s v="F86705"/>
    <n v="2912"/>
    <n v="211"/>
    <n v="202"/>
    <n v="150"/>
    <n v="141"/>
    <n v="20"/>
    <n v="27"/>
    <n v="25"/>
    <n v="11"/>
    <n v="6"/>
    <n v="94"/>
    <n v="85"/>
    <n v="71"/>
    <n v="65"/>
    <n v="332"/>
    <n v="158"/>
    <n v="174"/>
    <n v="34"/>
    <n v="85"/>
    <n v="44"/>
    <n v="124"/>
    <n v="50"/>
    <n v="4"/>
    <s v="WF-5"/>
    <s v="South Leytonstone"/>
    <x v="34"/>
  </r>
  <r>
    <s v="WF_LTC_SNS"/>
    <x v="7"/>
    <d v="2021-07-09T00:00:00"/>
    <s v="F86708"/>
    <n v="2123"/>
    <n v="200"/>
    <n v="192"/>
    <n v="144"/>
    <n v="94"/>
    <n v="6"/>
    <n v="15"/>
    <n v="5"/>
    <n v="4"/>
    <n v="2"/>
    <n v="148"/>
    <n v="114"/>
    <n v="106"/>
    <n v="37"/>
    <n v="369"/>
    <n v="105"/>
    <n v="264"/>
    <n v="29"/>
    <n v="88"/>
    <n v="43"/>
    <n v="133"/>
    <n v="62"/>
    <n v="17"/>
    <s v="WF-6"/>
    <s v="Central Walthamstow"/>
    <x v="35"/>
  </r>
  <r>
    <s v="WF_LTC_SNS"/>
    <x v="7"/>
    <d v="2021-07-09T00:00:00"/>
    <s v="F86712"/>
    <n v="2720"/>
    <n v="202"/>
    <n v="191"/>
    <n v="35"/>
    <n v="161"/>
    <n v="17"/>
    <n v="14"/>
    <n v="10"/>
    <n v="8"/>
    <n v="10"/>
    <n v="94"/>
    <n v="64"/>
    <n v="50"/>
    <n v="43"/>
    <n v="341"/>
    <n v="112"/>
    <n v="229"/>
    <n v="23"/>
    <n v="63"/>
    <n v="28"/>
    <n v="130"/>
    <n v="59"/>
    <n v="6"/>
    <s v="WF-4"/>
    <s v="Forest Integrated Health"/>
    <x v="36"/>
  </r>
  <r>
    <s v="WF_LTC_SNS"/>
    <x v="7"/>
    <d v="2021-07-09T00:00:00"/>
    <s v="Y01291"/>
    <n v="6902"/>
    <n v="476"/>
    <n v="449"/>
    <n v="289"/>
    <n v="169"/>
    <n v="14"/>
    <n v="115"/>
    <n v="109"/>
    <n v="48"/>
    <n v="43"/>
    <n v="448"/>
    <n v="348"/>
    <n v="311"/>
    <n v="124"/>
    <n v="1210"/>
    <n v="439"/>
    <n v="771"/>
    <n v="85"/>
    <n v="303"/>
    <n v="139"/>
    <n v="483"/>
    <n v="203"/>
    <n v="5"/>
    <s v="WF-2"/>
    <s v="Chingford E4"/>
    <x v="37"/>
  </r>
  <r>
    <s v="WF_LTC_SNS"/>
    <x v="7"/>
    <d v="2021-07-09T00:00:00"/>
    <s v="Y01839"/>
    <n v="4915"/>
    <n v="407"/>
    <n v="384"/>
    <n v="92"/>
    <n v="269"/>
    <n v="18"/>
    <n v="80"/>
    <n v="41"/>
    <n v="25"/>
    <n v="24"/>
    <n v="328"/>
    <n v="149"/>
    <n v="149"/>
    <n v="149"/>
    <n v="717"/>
    <n v="249"/>
    <n v="468"/>
    <n v="32"/>
    <n v="161"/>
    <n v="83"/>
    <n v="273"/>
    <n v="109"/>
    <n v="26"/>
    <s v="WF-1"/>
    <s v="Chingford/ Walthamstow"/>
    <x v="38"/>
  </r>
  <r>
    <s v="WF_LTC_SNS"/>
    <x v="8"/>
    <d v="2021-07-09T00:00:00"/>
    <s v="F86001"/>
    <n v="6185"/>
    <n v="504"/>
    <n v="474"/>
    <n v="199"/>
    <n v="326"/>
    <n v="33"/>
    <n v="89"/>
    <n v="49"/>
    <n v="25"/>
    <n v="33"/>
    <n v="330"/>
    <n v="137"/>
    <n v="127"/>
    <n v="130"/>
    <n v="899"/>
    <n v="293"/>
    <n v="606"/>
    <n v="62"/>
    <n v="233"/>
    <n v="102"/>
    <n v="308"/>
    <n v="131"/>
    <n v="14"/>
    <s v="WF-6"/>
    <s v="Central Walthamstow"/>
    <x v="5"/>
  </r>
  <r>
    <s v="WF_LTC_SNS"/>
    <x v="8"/>
    <d v="2021-07-09T00:00:00"/>
    <s v="F86005"/>
    <n v="7031"/>
    <n v="352"/>
    <n v="324"/>
    <n v="135"/>
    <n v="232"/>
    <n v="38"/>
    <n v="109"/>
    <n v="56"/>
    <n v="14"/>
    <n v="18"/>
    <n v="349"/>
    <n v="225"/>
    <n v="221"/>
    <n v="213"/>
    <n v="799"/>
    <n v="438"/>
    <n v="361"/>
    <n v="89"/>
    <n v="156"/>
    <n v="81"/>
    <n v="264"/>
    <n v="134"/>
    <n v="23"/>
    <s v="WF-1"/>
    <s v="Chingford/ Walthamstow"/>
    <x v="6"/>
  </r>
  <r>
    <s v="WF_LTC_SNS"/>
    <x v="8"/>
    <d v="2021-07-09T00:00:00"/>
    <s v="F86006"/>
    <n v="5206"/>
    <n v="419"/>
    <n v="400"/>
    <n v="262"/>
    <n v="269"/>
    <n v="32"/>
    <n v="58"/>
    <n v="42"/>
    <n v="24"/>
    <n v="29"/>
    <n v="240"/>
    <n v="132"/>
    <n v="106"/>
    <n v="105"/>
    <n v="810"/>
    <n v="351"/>
    <n v="459"/>
    <n v="117"/>
    <n v="169"/>
    <n v="93"/>
    <n v="292"/>
    <n v="138"/>
    <n v="8"/>
    <s v="WF-7"/>
    <s v="Walthamstow West"/>
    <x v="7"/>
  </r>
  <r>
    <s v="WF_LTC_SNS"/>
    <x v="8"/>
    <d v="2021-07-09T00:00:00"/>
    <s v="F86011"/>
    <n v="7741"/>
    <n v="731"/>
    <n v="694"/>
    <n v="544"/>
    <n v="335"/>
    <n v="71"/>
    <n v="97"/>
    <n v="92"/>
    <n v="89"/>
    <n v="77"/>
    <n v="334"/>
    <n v="281"/>
    <n v="274"/>
    <n v="273"/>
    <n v="1139"/>
    <n v="600"/>
    <n v="539"/>
    <n v="98"/>
    <n v="353"/>
    <n v="189"/>
    <n v="496"/>
    <n v="232"/>
    <n v="54"/>
    <s v="WF-3"/>
    <s v="Leyton Collaborative"/>
    <x v="8"/>
  </r>
  <r>
    <s v="WF_LTC_SNS"/>
    <x v="8"/>
    <d v="2021-07-09T00:00:00"/>
    <s v="F86030"/>
    <n v="6233"/>
    <n v="557"/>
    <n v="542"/>
    <n v="480"/>
    <n v="454"/>
    <n v="131"/>
    <n v="39"/>
    <n v="14"/>
    <n v="10"/>
    <n v="12"/>
    <n v="338"/>
    <n v="264"/>
    <n v="211"/>
    <n v="229"/>
    <n v="712"/>
    <n v="351"/>
    <n v="361"/>
    <n v="78"/>
    <n v="206"/>
    <n v="132"/>
    <n v="336"/>
    <n v="156"/>
    <n v="13"/>
    <s v="WF-7"/>
    <s v="Walthamstow West"/>
    <x v="9"/>
  </r>
  <r>
    <s v="WF_LTC_SNS"/>
    <x v="8"/>
    <d v="2021-07-09T00:00:00"/>
    <s v="F86036"/>
    <n v="12269"/>
    <n v="789"/>
    <n v="720"/>
    <n v="239"/>
    <n v="598"/>
    <n v="49"/>
    <n v="112"/>
    <n v="74"/>
    <n v="30"/>
    <n v="44"/>
    <n v="599"/>
    <n v="204"/>
    <n v="152"/>
    <n v="90"/>
    <n v="1447"/>
    <n v="340"/>
    <n v="1107"/>
    <n v="67"/>
    <n v="350"/>
    <n v="155"/>
    <n v="549"/>
    <n v="212"/>
    <n v="53"/>
    <s v="WF-4"/>
    <s v="Forest Integrated Health"/>
    <x v="10"/>
  </r>
  <r>
    <s v="WF_LTC_SNS"/>
    <x v="8"/>
    <d v="2021-07-09T00:00:00"/>
    <s v="F86038"/>
    <n v="8522"/>
    <n v="790"/>
    <n v="764"/>
    <n v="599"/>
    <n v="439"/>
    <n v="71"/>
    <n v="47"/>
    <n v="44"/>
    <n v="42"/>
    <n v="35"/>
    <n v="430"/>
    <n v="347"/>
    <n v="343"/>
    <n v="341"/>
    <n v="1104"/>
    <n v="510"/>
    <n v="594"/>
    <n v="137"/>
    <n v="341"/>
    <n v="184"/>
    <n v="444"/>
    <n v="190"/>
    <n v="69"/>
    <s v="WF-3"/>
    <s v="Leyton Collaborative"/>
    <x v="11"/>
  </r>
  <r>
    <s v="WF_LTC_SNS"/>
    <x v="8"/>
    <d v="2021-07-09T00:00:00"/>
    <s v="F86044"/>
    <n v="7972"/>
    <n v="380"/>
    <n v="348"/>
    <n v="200"/>
    <n v="200"/>
    <n v="24"/>
    <n v="33"/>
    <n v="31"/>
    <n v="26"/>
    <n v="29"/>
    <n v="324"/>
    <n v="256"/>
    <n v="247"/>
    <n v="97"/>
    <n v="742"/>
    <n v="239"/>
    <n v="503"/>
    <n v="77"/>
    <n v="145"/>
    <n v="85"/>
    <n v="242"/>
    <n v="134"/>
    <n v="27"/>
    <s v="WF-4"/>
    <s v="Forest Integrated Health"/>
    <x v="12"/>
  </r>
  <r>
    <s v="WF_LTC_SNS"/>
    <x v="8"/>
    <d v="2021-07-09T00:00:00"/>
    <s v="F86045"/>
    <n v="1670"/>
    <n v="127"/>
    <n v="124"/>
    <n v="109"/>
    <n v="105"/>
    <n v="12"/>
    <n v="21"/>
    <n v="18"/>
    <n v="13"/>
    <n v="3"/>
    <n v="85"/>
    <n v="59"/>
    <n v="59"/>
    <n v="59"/>
    <n v="264"/>
    <n v="108"/>
    <n v="156"/>
    <n v="26"/>
    <n v="72"/>
    <n v="30"/>
    <n v="77"/>
    <n v="23"/>
    <n v="11"/>
    <s v="WF-5"/>
    <s v="South Leytonstone"/>
    <x v="13"/>
  </r>
  <r>
    <s v="WF_LTC_SNS"/>
    <x v="8"/>
    <d v="2021-07-09T00:00:00"/>
    <s v="F86058"/>
    <n v="12306"/>
    <n v="756"/>
    <n v="703"/>
    <n v="299"/>
    <n v="564"/>
    <n v="62"/>
    <n v="104"/>
    <n v="4"/>
    <n v="0"/>
    <n v="1"/>
    <n v="549"/>
    <n v="368"/>
    <n v="177"/>
    <n v="29"/>
    <n v="1442"/>
    <n v="601"/>
    <n v="841"/>
    <n v="106"/>
    <n v="328"/>
    <n v="181"/>
    <n v="479"/>
    <n v="242"/>
    <n v="19"/>
    <s v="WF-7"/>
    <s v="Walthamstow West"/>
    <x v="14"/>
  </r>
  <r>
    <s v="WF_LTC_SNS"/>
    <x v="8"/>
    <d v="2021-07-09T00:00:00"/>
    <s v="F86062"/>
    <n v="5879"/>
    <n v="452"/>
    <n v="426"/>
    <n v="145"/>
    <n v="304"/>
    <n v="45"/>
    <n v="66"/>
    <n v="20"/>
    <n v="1"/>
    <n v="4"/>
    <n v="255"/>
    <n v="127"/>
    <n v="77"/>
    <n v="53"/>
    <n v="817"/>
    <n v="275"/>
    <n v="542"/>
    <n v="54"/>
    <n v="203"/>
    <n v="109"/>
    <n v="297"/>
    <n v="154"/>
    <n v="31"/>
    <s v="WF-7"/>
    <s v="Walthamstow West"/>
    <x v="15"/>
  </r>
  <r>
    <s v="WF_LTC_SNS"/>
    <x v="8"/>
    <d v="2021-07-09T00:00:00"/>
    <s v="F86078"/>
    <n v="5717"/>
    <n v="345"/>
    <n v="316"/>
    <n v="158"/>
    <n v="191"/>
    <n v="15"/>
    <n v="73"/>
    <n v="39"/>
    <n v="8"/>
    <n v="29"/>
    <n v="326"/>
    <n v="216"/>
    <n v="152"/>
    <n v="114"/>
    <n v="1100"/>
    <n v="394"/>
    <n v="706"/>
    <n v="35"/>
    <n v="285"/>
    <n v="125"/>
    <n v="491"/>
    <n v="279"/>
    <n v="18"/>
    <s v="WF-2"/>
    <s v="Chingford E4"/>
    <x v="16"/>
  </r>
  <r>
    <s v="WF_LTC_SNS"/>
    <x v="8"/>
    <d v="2021-07-09T00:00:00"/>
    <s v="F86086"/>
    <n v="4550"/>
    <n v="306"/>
    <n v="292"/>
    <n v="75"/>
    <n v="181"/>
    <n v="2"/>
    <n v="33"/>
    <n v="11"/>
    <n v="1"/>
    <n v="5"/>
    <n v="197"/>
    <n v="7"/>
    <n v="5"/>
    <n v="4"/>
    <n v="497"/>
    <n v="68"/>
    <n v="429"/>
    <n v="17"/>
    <n v="136"/>
    <n v="76"/>
    <n v="189"/>
    <n v="94"/>
    <n v="1"/>
    <s v="WF-6"/>
    <s v="Central Walthamstow"/>
    <x v="17"/>
  </r>
  <r>
    <s v="WF_LTC_SNS"/>
    <x v="8"/>
    <d v="2021-07-09T00:00:00"/>
    <s v="F86088"/>
    <n v="3976"/>
    <n v="362"/>
    <n v="345"/>
    <n v="24"/>
    <n v="193"/>
    <n v="19"/>
    <n v="36"/>
    <n v="10"/>
    <n v="0"/>
    <n v="0"/>
    <n v="199"/>
    <n v="76"/>
    <n v="49"/>
    <n v="36"/>
    <n v="660"/>
    <n v="199"/>
    <n v="461"/>
    <n v="22"/>
    <n v="131"/>
    <n v="54"/>
    <n v="206"/>
    <n v="120"/>
    <n v="24"/>
    <s v="WF-4"/>
    <s v="Forest Integrated Health"/>
    <x v="18"/>
  </r>
  <r>
    <s v="WF_LTC_SNS"/>
    <x v="8"/>
    <d v="2021-07-09T00:00:00"/>
    <s v="F86607"/>
    <n v="11110"/>
    <n v="653"/>
    <n v="616"/>
    <n v="423"/>
    <n v="343"/>
    <n v="33"/>
    <n v="91"/>
    <n v="72"/>
    <n v="43"/>
    <n v="42"/>
    <n v="636"/>
    <n v="366"/>
    <n v="280"/>
    <n v="241"/>
    <n v="1248"/>
    <n v="594"/>
    <n v="654"/>
    <n v="125"/>
    <n v="306"/>
    <n v="145"/>
    <n v="438"/>
    <n v="196"/>
    <n v="3"/>
    <s v="WF-6"/>
    <s v="Central Walthamstow"/>
    <x v="19"/>
  </r>
  <r>
    <s v="WF_LTC_SNS"/>
    <x v="8"/>
    <d v="2021-07-09T00:00:00"/>
    <s v="F86616"/>
    <n v="5763"/>
    <n v="332"/>
    <n v="305"/>
    <n v="268"/>
    <n v="85"/>
    <n v="15"/>
    <n v="67"/>
    <n v="43"/>
    <n v="35"/>
    <n v="1"/>
    <n v="355"/>
    <n v="235"/>
    <n v="215"/>
    <n v="187"/>
    <n v="809"/>
    <n v="493"/>
    <n v="316"/>
    <n v="82"/>
    <n v="237"/>
    <n v="108"/>
    <n v="360"/>
    <n v="174"/>
    <n v="1"/>
    <s v="WF-2"/>
    <s v="Chingford E4"/>
    <x v="20"/>
  </r>
  <r>
    <s v="WF_LTC_SNS"/>
    <x v="8"/>
    <d v="2021-07-09T00:00:00"/>
    <s v="F86621"/>
    <n v="5149"/>
    <n v="305"/>
    <n v="289"/>
    <n v="194"/>
    <n v="239"/>
    <n v="69"/>
    <n v="30"/>
    <n v="25"/>
    <n v="21"/>
    <n v="24"/>
    <n v="249"/>
    <n v="183"/>
    <n v="180"/>
    <n v="170"/>
    <n v="600"/>
    <n v="269"/>
    <n v="331"/>
    <n v="29"/>
    <n v="151"/>
    <n v="63"/>
    <n v="270"/>
    <n v="123"/>
    <n v="4"/>
    <s v="WF-5"/>
    <s v="South Leytonstone"/>
    <x v="21"/>
  </r>
  <r>
    <s v="WF_LTC_SNS"/>
    <x v="8"/>
    <d v="2021-07-09T00:00:00"/>
    <s v="F86625"/>
    <n v="4681"/>
    <n v="416"/>
    <n v="396"/>
    <n v="305"/>
    <n v="302"/>
    <n v="49"/>
    <n v="56"/>
    <n v="48"/>
    <n v="45"/>
    <n v="27"/>
    <n v="248"/>
    <n v="216"/>
    <n v="209"/>
    <n v="201"/>
    <n v="694"/>
    <n v="332"/>
    <n v="362"/>
    <n v="142"/>
    <n v="197"/>
    <n v="81"/>
    <n v="277"/>
    <n v="147"/>
    <n v="1"/>
    <s v="WF-5"/>
    <s v="South Leytonstone"/>
    <x v="22"/>
  </r>
  <r>
    <s v="WF_LTC_SNS"/>
    <x v="8"/>
    <d v="2021-07-09T00:00:00"/>
    <s v="F86626"/>
    <n v="5064"/>
    <n v="281"/>
    <n v="267"/>
    <n v="192"/>
    <n v="183"/>
    <n v="30"/>
    <n v="25"/>
    <n v="22"/>
    <n v="7"/>
    <n v="4"/>
    <n v="180"/>
    <n v="142"/>
    <n v="135"/>
    <n v="134"/>
    <n v="520"/>
    <n v="317"/>
    <n v="203"/>
    <n v="48"/>
    <n v="109"/>
    <n v="48"/>
    <n v="167"/>
    <n v="92"/>
    <n v="14"/>
    <s v="WF-1"/>
    <s v="Chingford/ Walthamstow"/>
    <x v="23"/>
  </r>
  <r>
    <s v="WF_LTC_SNS"/>
    <x v="8"/>
    <d v="2021-07-09T00:00:00"/>
    <s v="F86627"/>
    <n v="10681"/>
    <n v="799"/>
    <n v="756"/>
    <n v="375"/>
    <n v="266"/>
    <n v="23"/>
    <n v="233"/>
    <n v="185"/>
    <n v="90"/>
    <n v="160"/>
    <n v="717"/>
    <n v="398"/>
    <n v="373"/>
    <n v="349"/>
    <n v="1840"/>
    <n v="760"/>
    <n v="1080"/>
    <n v="187"/>
    <n v="605"/>
    <n v="256"/>
    <n v="833"/>
    <n v="397"/>
    <n v="83"/>
    <s v="WF-2"/>
    <s v="Chingford E4"/>
    <x v="24"/>
  </r>
  <r>
    <s v="WF_LTC_SNS"/>
    <x v="8"/>
    <d v="2021-07-09T00:00:00"/>
    <s v="F86644"/>
    <n v="7435"/>
    <n v="522"/>
    <n v="501"/>
    <n v="171"/>
    <n v="348"/>
    <n v="27"/>
    <n v="94"/>
    <n v="45"/>
    <n v="32"/>
    <n v="35"/>
    <n v="368"/>
    <n v="145"/>
    <n v="118"/>
    <n v="107"/>
    <n v="1123"/>
    <n v="392"/>
    <n v="731"/>
    <n v="78"/>
    <n v="252"/>
    <n v="111"/>
    <n v="396"/>
    <n v="188"/>
    <n v="16"/>
    <s v="WF-6"/>
    <s v="Central Walthamstow"/>
    <x v="25"/>
  </r>
  <r>
    <s v="WF_LTC_SNS"/>
    <x v="8"/>
    <d v="2021-07-09T00:00:00"/>
    <s v="F86650"/>
    <n v="6318"/>
    <n v="492"/>
    <n v="460"/>
    <n v="241"/>
    <n v="389"/>
    <n v="42"/>
    <n v="61"/>
    <n v="47"/>
    <n v="42"/>
    <n v="44"/>
    <n v="336"/>
    <n v="260"/>
    <n v="259"/>
    <n v="240"/>
    <n v="695"/>
    <n v="220"/>
    <n v="475"/>
    <n v="43"/>
    <n v="191"/>
    <n v="89"/>
    <n v="318"/>
    <n v="152"/>
    <n v="29"/>
    <s v="WF-4"/>
    <s v="Forest Integrated Health"/>
    <x v="26"/>
  </r>
  <r>
    <s v="WF_LTC_SNS"/>
    <x v="8"/>
    <d v="2021-07-09T00:00:00"/>
    <s v="F86664"/>
    <n v="6483"/>
    <n v="412"/>
    <n v="374"/>
    <n v="176"/>
    <n v="273"/>
    <n v="26"/>
    <n v="101"/>
    <n v="80"/>
    <n v="50"/>
    <n v="52"/>
    <n v="321"/>
    <n v="269"/>
    <n v="259"/>
    <n v="251"/>
    <n v="877"/>
    <n v="409"/>
    <n v="468"/>
    <n v="19"/>
    <n v="266"/>
    <n v="90"/>
    <n v="393"/>
    <n v="196"/>
    <n v="34"/>
    <s v="WF-1"/>
    <s v="Chingford/ Walthamstow"/>
    <x v="27"/>
  </r>
  <r>
    <s v="WF_LTC_SNS"/>
    <x v="8"/>
    <d v="2021-07-09T00:00:00"/>
    <s v="F86666"/>
    <n v="11704"/>
    <n v="861"/>
    <n v="825"/>
    <n v="521"/>
    <n v="531"/>
    <n v="78"/>
    <n v="123"/>
    <n v="87"/>
    <n v="73"/>
    <n v="75"/>
    <n v="557"/>
    <n v="382"/>
    <n v="360"/>
    <n v="332"/>
    <n v="1784"/>
    <n v="876"/>
    <n v="908"/>
    <n v="259"/>
    <n v="317"/>
    <n v="166"/>
    <n v="415"/>
    <n v="238"/>
    <n v="20"/>
    <s v="WF-5"/>
    <s v="South Leytonstone"/>
    <x v="28"/>
  </r>
  <r>
    <s v="WF_LTC_SNS"/>
    <x v="8"/>
    <d v="2021-07-09T00:00:00"/>
    <s v="F86679"/>
    <n v="4395"/>
    <n v="229"/>
    <n v="217"/>
    <n v="193"/>
    <n v="147"/>
    <n v="54"/>
    <n v="29"/>
    <n v="27"/>
    <n v="24"/>
    <n v="10"/>
    <n v="196"/>
    <n v="176"/>
    <n v="170"/>
    <n v="147"/>
    <n v="463"/>
    <n v="284"/>
    <n v="179"/>
    <n v="22"/>
    <n v="83"/>
    <n v="44"/>
    <n v="125"/>
    <n v="62"/>
    <n v="7"/>
    <s v="WF-7"/>
    <s v="Walthamstow West"/>
    <x v="29"/>
  </r>
  <r>
    <s v="WF_LTC_SNS"/>
    <x v="8"/>
    <d v="2021-07-09T00:00:00"/>
    <s v="F86689"/>
    <n v="3238"/>
    <n v="121"/>
    <n v="109"/>
    <n v="79"/>
    <n v="64"/>
    <n v="13"/>
    <n v="40"/>
    <n v="29"/>
    <n v="7"/>
    <n v="0"/>
    <n v="184"/>
    <n v="110"/>
    <n v="109"/>
    <n v="109"/>
    <n v="297"/>
    <n v="177"/>
    <n v="120"/>
    <n v="18"/>
    <n v="72"/>
    <n v="30"/>
    <n v="103"/>
    <n v="51"/>
    <n v="16"/>
    <s v="WF-1"/>
    <s v="Chingford/ Walthamstow"/>
    <x v="30"/>
  </r>
  <r>
    <s v="WF_LTC_SNS"/>
    <x v="8"/>
    <d v="2021-07-09T00:00:00"/>
    <s v="F86696"/>
    <n v="5266"/>
    <n v="354"/>
    <n v="340"/>
    <n v="294"/>
    <n v="102"/>
    <n v="12"/>
    <n v="24"/>
    <n v="23"/>
    <n v="18"/>
    <n v="23"/>
    <n v="226"/>
    <n v="163"/>
    <n v="155"/>
    <n v="99"/>
    <n v="590"/>
    <n v="354"/>
    <n v="236"/>
    <n v="105"/>
    <n v="136"/>
    <n v="69"/>
    <n v="202"/>
    <n v="107"/>
    <n v="18"/>
    <s v="WF-4"/>
    <s v="Forest Integrated Health"/>
    <x v="31"/>
  </r>
  <r>
    <s v="WF_LTC_SNS"/>
    <x v="8"/>
    <d v="2021-07-09T00:00:00"/>
    <s v="F86700"/>
    <n v="3053"/>
    <n v="216"/>
    <n v="198"/>
    <n v="151"/>
    <n v="69"/>
    <n v="10"/>
    <n v="112"/>
    <n v="85"/>
    <n v="45"/>
    <n v="4"/>
    <n v="221"/>
    <n v="168"/>
    <n v="158"/>
    <n v="113"/>
    <n v="762"/>
    <n v="497"/>
    <n v="265"/>
    <n v="34"/>
    <n v="215"/>
    <n v="76"/>
    <n v="262"/>
    <n v="156"/>
    <n v="32"/>
    <s v="WF-1"/>
    <s v="Chingford/ Walthamstow"/>
    <x v="32"/>
  </r>
  <r>
    <s v="WF_LTC_SNS"/>
    <x v="8"/>
    <d v="2021-07-09T00:00:00"/>
    <s v="F86701"/>
    <n v="2985"/>
    <n v="238"/>
    <n v="227"/>
    <n v="187"/>
    <n v="176"/>
    <n v="37"/>
    <n v="24"/>
    <n v="19"/>
    <n v="12"/>
    <n v="14"/>
    <n v="129"/>
    <n v="99"/>
    <n v="94"/>
    <n v="87"/>
    <n v="450"/>
    <n v="265"/>
    <n v="185"/>
    <n v="43"/>
    <n v="87"/>
    <n v="42"/>
    <n v="117"/>
    <n v="78"/>
    <n v="12"/>
    <s v="WF-5"/>
    <s v="South Leytonstone"/>
    <x v="33"/>
  </r>
  <r>
    <s v="WF_LTC_SNS"/>
    <x v="8"/>
    <d v="2021-07-09T00:00:00"/>
    <s v="F86705"/>
    <n v="2938"/>
    <n v="213"/>
    <n v="204"/>
    <n v="152"/>
    <n v="143"/>
    <n v="18"/>
    <n v="27"/>
    <n v="25"/>
    <n v="11"/>
    <n v="6"/>
    <n v="93"/>
    <n v="83"/>
    <n v="70"/>
    <n v="64"/>
    <n v="337"/>
    <n v="161"/>
    <n v="176"/>
    <n v="39"/>
    <n v="86"/>
    <n v="44"/>
    <n v="124"/>
    <n v="47"/>
    <n v="5"/>
    <s v="WF-5"/>
    <s v="South Leytonstone"/>
    <x v="34"/>
  </r>
  <r>
    <s v="WF_LTC_SNS"/>
    <x v="8"/>
    <d v="2021-07-09T00:00:00"/>
    <s v="F86708"/>
    <n v="2128"/>
    <n v="199"/>
    <n v="191"/>
    <n v="129"/>
    <n v="97"/>
    <n v="8"/>
    <n v="15"/>
    <n v="5"/>
    <n v="4"/>
    <n v="2"/>
    <n v="146"/>
    <n v="105"/>
    <n v="98"/>
    <n v="38"/>
    <n v="362"/>
    <n v="107"/>
    <n v="255"/>
    <n v="27"/>
    <n v="87"/>
    <n v="42"/>
    <n v="132"/>
    <n v="60"/>
    <n v="17"/>
    <s v="WF-6"/>
    <s v="Central Walthamstow"/>
    <x v="35"/>
  </r>
  <r>
    <s v="WF_LTC_SNS"/>
    <x v="8"/>
    <d v="2021-07-09T00:00:00"/>
    <s v="F86712"/>
    <n v="2713"/>
    <n v="202"/>
    <n v="191"/>
    <n v="36"/>
    <n v="161"/>
    <n v="19"/>
    <n v="14"/>
    <n v="10"/>
    <n v="8"/>
    <n v="10"/>
    <n v="94"/>
    <n v="62"/>
    <n v="50"/>
    <n v="43"/>
    <n v="340"/>
    <n v="112"/>
    <n v="228"/>
    <n v="26"/>
    <n v="63"/>
    <n v="28"/>
    <n v="129"/>
    <n v="57"/>
    <n v="7"/>
    <s v="WF-4"/>
    <s v="Forest Integrated Health"/>
    <x v="36"/>
  </r>
  <r>
    <s v="WF_LTC_SNS"/>
    <x v="8"/>
    <d v="2021-07-09T00:00:00"/>
    <s v="Y01291"/>
    <n v="6923"/>
    <n v="475"/>
    <n v="450"/>
    <n v="308"/>
    <n v="164"/>
    <n v="22"/>
    <n v="115"/>
    <n v="108"/>
    <n v="49"/>
    <n v="46"/>
    <n v="452"/>
    <n v="328"/>
    <n v="296"/>
    <n v="150"/>
    <n v="1213"/>
    <n v="473"/>
    <n v="740"/>
    <n v="92"/>
    <n v="302"/>
    <n v="139"/>
    <n v="486"/>
    <n v="204"/>
    <n v="7"/>
    <s v="WF-2"/>
    <s v="Chingford E4"/>
    <x v="37"/>
  </r>
  <r>
    <s v="WF_LTC_SNS"/>
    <x v="8"/>
    <d v="2021-07-09T00:00:00"/>
    <s v="Y01839"/>
    <n v="4936"/>
    <n v="405"/>
    <n v="382"/>
    <n v="108"/>
    <n v="263"/>
    <n v="19"/>
    <n v="80"/>
    <n v="40"/>
    <n v="25"/>
    <n v="24"/>
    <n v="317"/>
    <n v="141"/>
    <n v="141"/>
    <n v="141"/>
    <n v="713"/>
    <n v="248"/>
    <n v="465"/>
    <n v="35"/>
    <n v="162"/>
    <n v="84"/>
    <n v="272"/>
    <n v="106"/>
    <n v="25"/>
    <s v="WF-1"/>
    <s v="Chingford/ Walthamstow"/>
    <x v="38"/>
  </r>
  <r>
    <s v="WF_LTC_SNS"/>
    <x v="9"/>
    <d v="2021-07-09T00:00:00"/>
    <s v="F86001"/>
    <n v="6175"/>
    <n v="513"/>
    <n v="484"/>
    <n v="238"/>
    <n v="323"/>
    <n v="38"/>
    <n v="87"/>
    <n v="49"/>
    <n v="26"/>
    <n v="34"/>
    <n v="319"/>
    <n v="131"/>
    <n v="121"/>
    <n v="124"/>
    <n v="897"/>
    <n v="300"/>
    <n v="597"/>
    <n v="70"/>
    <n v="235"/>
    <n v="106"/>
    <n v="314"/>
    <n v="130"/>
    <n v="14"/>
    <s v="WF-6"/>
    <s v="Central Walthamstow"/>
    <x v="5"/>
  </r>
  <r>
    <s v="WF_LTC_SNS"/>
    <x v="9"/>
    <d v="2021-07-09T00:00:00"/>
    <s v="F86005"/>
    <n v="7091"/>
    <n v="349"/>
    <n v="321"/>
    <n v="180"/>
    <n v="224"/>
    <n v="37"/>
    <n v="109"/>
    <n v="62"/>
    <n v="16"/>
    <n v="25"/>
    <n v="347"/>
    <n v="220"/>
    <n v="216"/>
    <n v="208"/>
    <n v="800"/>
    <n v="433"/>
    <n v="367"/>
    <n v="107"/>
    <n v="154"/>
    <n v="79"/>
    <n v="266"/>
    <n v="136"/>
    <n v="26"/>
    <s v="WF-1"/>
    <s v="Chingford/ Walthamstow"/>
    <x v="6"/>
  </r>
  <r>
    <s v="WF_LTC_SNS"/>
    <x v="9"/>
    <d v="2021-07-09T00:00:00"/>
    <s v="F86006"/>
    <n v="5234"/>
    <n v="416"/>
    <n v="397"/>
    <n v="303"/>
    <n v="268"/>
    <n v="36"/>
    <n v="57"/>
    <n v="36"/>
    <n v="24"/>
    <n v="28"/>
    <n v="241"/>
    <n v="128"/>
    <n v="120"/>
    <n v="123"/>
    <n v="805"/>
    <n v="365"/>
    <n v="440"/>
    <n v="135"/>
    <n v="169"/>
    <n v="99"/>
    <n v="290"/>
    <n v="140"/>
    <n v="10"/>
    <s v="WF-7"/>
    <s v="Walthamstow West"/>
    <x v="7"/>
  </r>
  <r>
    <s v="WF_LTC_SNS"/>
    <x v="9"/>
    <d v="2021-07-09T00:00:00"/>
    <s v="F86011"/>
    <n v="7704"/>
    <n v="731"/>
    <n v="694"/>
    <n v="555"/>
    <n v="332"/>
    <n v="70"/>
    <n v="97"/>
    <n v="91"/>
    <n v="88"/>
    <n v="76"/>
    <n v="329"/>
    <n v="285"/>
    <n v="279"/>
    <n v="279"/>
    <n v="1135"/>
    <n v="595"/>
    <n v="540"/>
    <n v="113"/>
    <n v="351"/>
    <n v="188"/>
    <n v="495"/>
    <n v="230"/>
    <n v="53"/>
    <s v="WF-3"/>
    <s v="Leyton Collaborative"/>
    <x v="8"/>
  </r>
  <r>
    <s v="WF_LTC_SNS"/>
    <x v="9"/>
    <d v="2021-07-09T00:00:00"/>
    <s v="F86030"/>
    <n v="6212"/>
    <n v="555"/>
    <n v="541"/>
    <n v="483"/>
    <n v="449"/>
    <n v="126"/>
    <n v="38"/>
    <n v="14"/>
    <n v="10"/>
    <n v="12"/>
    <n v="340"/>
    <n v="267"/>
    <n v="221"/>
    <n v="235"/>
    <n v="709"/>
    <n v="364"/>
    <n v="345"/>
    <n v="85"/>
    <n v="206"/>
    <n v="132"/>
    <n v="337"/>
    <n v="160"/>
    <n v="17"/>
    <s v="WF-7"/>
    <s v="Walthamstow West"/>
    <x v="9"/>
  </r>
  <r>
    <s v="WF_LTC_SNS"/>
    <x v="9"/>
    <d v="2021-07-09T00:00:00"/>
    <s v="F86036"/>
    <n v="12216"/>
    <n v="784"/>
    <n v="715"/>
    <n v="253"/>
    <n v="584"/>
    <n v="46"/>
    <n v="112"/>
    <n v="73"/>
    <n v="31"/>
    <n v="43"/>
    <n v="603"/>
    <n v="194"/>
    <n v="153"/>
    <n v="97"/>
    <n v="1443"/>
    <n v="352"/>
    <n v="1091"/>
    <n v="72"/>
    <n v="354"/>
    <n v="157"/>
    <n v="547"/>
    <n v="214"/>
    <n v="52"/>
    <s v="WF-4"/>
    <s v="Forest Integrated Health"/>
    <x v="10"/>
  </r>
  <r>
    <s v="WF_LTC_SNS"/>
    <x v="9"/>
    <d v="2021-07-09T00:00:00"/>
    <s v="F86038"/>
    <n v="8550"/>
    <n v="795"/>
    <n v="769"/>
    <n v="627"/>
    <n v="446"/>
    <n v="72"/>
    <n v="46"/>
    <n v="44"/>
    <n v="42"/>
    <n v="35"/>
    <n v="430"/>
    <n v="346"/>
    <n v="340"/>
    <n v="338"/>
    <n v="1107"/>
    <n v="543"/>
    <n v="564"/>
    <n v="142"/>
    <n v="346"/>
    <n v="187"/>
    <n v="445"/>
    <n v="187"/>
    <n v="72"/>
    <s v="WF-3"/>
    <s v="Leyton Collaborative"/>
    <x v="11"/>
  </r>
  <r>
    <s v="WF_LTC_SNS"/>
    <x v="9"/>
    <d v="2021-07-09T00:00:00"/>
    <s v="F86044"/>
    <n v="7987"/>
    <n v="386"/>
    <n v="354"/>
    <n v="208"/>
    <n v="218"/>
    <n v="19"/>
    <n v="33"/>
    <n v="9"/>
    <n v="9"/>
    <n v="7"/>
    <n v="314"/>
    <n v="181"/>
    <n v="176"/>
    <n v="110"/>
    <n v="746"/>
    <n v="247"/>
    <n v="499"/>
    <n v="93"/>
    <n v="144"/>
    <n v="83"/>
    <n v="244"/>
    <n v="136"/>
    <n v="27"/>
    <s v="WF-4"/>
    <s v="Forest Integrated Health"/>
    <x v="12"/>
  </r>
  <r>
    <s v="WF_LTC_SNS"/>
    <x v="9"/>
    <d v="2021-07-09T00:00:00"/>
    <s v="F86045"/>
    <n v="1666"/>
    <n v="125"/>
    <n v="122"/>
    <n v="107"/>
    <n v="104"/>
    <n v="11"/>
    <n v="20"/>
    <n v="16"/>
    <n v="11"/>
    <n v="3"/>
    <n v="84"/>
    <n v="55"/>
    <n v="55"/>
    <n v="55"/>
    <n v="262"/>
    <n v="106"/>
    <n v="156"/>
    <n v="27"/>
    <n v="72"/>
    <n v="30"/>
    <n v="77"/>
    <n v="23"/>
    <n v="11"/>
    <s v="WF-5"/>
    <s v="South Leytonstone"/>
    <x v="13"/>
  </r>
  <r>
    <s v="WF_LTC_SNS"/>
    <x v="9"/>
    <d v="2021-07-09T00:00:00"/>
    <s v="F86058"/>
    <n v="12391"/>
    <n v="765"/>
    <n v="712"/>
    <n v="316"/>
    <n v="569"/>
    <n v="68"/>
    <n v="105"/>
    <n v="4"/>
    <n v="0"/>
    <n v="1"/>
    <n v="560"/>
    <n v="235"/>
    <n v="104"/>
    <n v="32"/>
    <n v="1441"/>
    <n v="620"/>
    <n v="821"/>
    <n v="109"/>
    <n v="332"/>
    <n v="183"/>
    <n v="485"/>
    <n v="243"/>
    <n v="20"/>
    <s v="WF-7"/>
    <s v="Walthamstow West"/>
    <x v="14"/>
  </r>
  <r>
    <s v="WF_LTC_SNS"/>
    <x v="9"/>
    <d v="2021-07-09T00:00:00"/>
    <s v="F86062"/>
    <n v="5890"/>
    <n v="453"/>
    <n v="427"/>
    <n v="153"/>
    <n v="303"/>
    <n v="45"/>
    <n v="67"/>
    <n v="19"/>
    <n v="1"/>
    <n v="3"/>
    <n v="255"/>
    <n v="130"/>
    <n v="83"/>
    <n v="60"/>
    <n v="815"/>
    <n v="276"/>
    <n v="539"/>
    <n v="62"/>
    <n v="205"/>
    <n v="110"/>
    <n v="295"/>
    <n v="154"/>
    <n v="32"/>
    <s v="WF-7"/>
    <s v="Walthamstow West"/>
    <x v="15"/>
  </r>
  <r>
    <s v="WF_LTC_SNS"/>
    <x v="9"/>
    <d v="2021-07-09T00:00:00"/>
    <s v="F86078"/>
    <n v="5711"/>
    <n v="344"/>
    <n v="315"/>
    <n v="156"/>
    <n v="180"/>
    <n v="16"/>
    <n v="75"/>
    <n v="42"/>
    <n v="8"/>
    <n v="29"/>
    <n v="319"/>
    <n v="162"/>
    <n v="121"/>
    <n v="105"/>
    <n v="1103"/>
    <n v="411"/>
    <n v="692"/>
    <n v="33"/>
    <n v="286"/>
    <n v="126"/>
    <n v="494"/>
    <n v="281"/>
    <n v="16"/>
    <s v="WF-2"/>
    <s v="Chingford E4"/>
    <x v="16"/>
  </r>
  <r>
    <s v="WF_LTC_SNS"/>
    <x v="9"/>
    <d v="2021-07-09T00:00:00"/>
    <s v="F86086"/>
    <n v="4523"/>
    <n v="300"/>
    <n v="287"/>
    <n v="79"/>
    <n v="176"/>
    <n v="2"/>
    <n v="33"/>
    <n v="10"/>
    <n v="1"/>
    <n v="5"/>
    <n v="201"/>
    <n v="7"/>
    <n v="6"/>
    <n v="5"/>
    <n v="485"/>
    <n v="60"/>
    <n v="425"/>
    <n v="22"/>
    <n v="129"/>
    <n v="73"/>
    <n v="180"/>
    <n v="94"/>
    <n v="2"/>
    <s v="WF-6"/>
    <s v="Central Walthamstow"/>
    <x v="17"/>
  </r>
  <r>
    <s v="WF_LTC_SNS"/>
    <x v="9"/>
    <d v="2021-07-09T00:00:00"/>
    <s v="F86088"/>
    <n v="3985"/>
    <n v="363"/>
    <n v="345"/>
    <n v="38"/>
    <n v="190"/>
    <n v="20"/>
    <n v="36"/>
    <n v="11"/>
    <n v="0"/>
    <n v="0"/>
    <n v="200"/>
    <n v="88"/>
    <n v="65"/>
    <n v="57"/>
    <n v="662"/>
    <n v="199"/>
    <n v="463"/>
    <n v="24"/>
    <n v="132"/>
    <n v="56"/>
    <n v="212"/>
    <n v="124"/>
    <n v="23"/>
    <s v="WF-4"/>
    <s v="Forest Integrated Health"/>
    <x v="18"/>
  </r>
  <r>
    <s v="WF_LTC_SNS"/>
    <x v="9"/>
    <d v="2021-07-09T00:00:00"/>
    <s v="F86607"/>
    <n v="11222"/>
    <n v="661"/>
    <n v="624"/>
    <n v="433"/>
    <n v="342"/>
    <n v="36"/>
    <n v="90"/>
    <n v="74"/>
    <n v="44"/>
    <n v="44"/>
    <n v="626"/>
    <n v="378"/>
    <n v="306"/>
    <n v="277"/>
    <n v="1253"/>
    <n v="624"/>
    <n v="629"/>
    <n v="143"/>
    <n v="305"/>
    <n v="146"/>
    <n v="444"/>
    <n v="200"/>
    <n v="4"/>
    <s v="WF-6"/>
    <s v="Central Walthamstow"/>
    <x v="19"/>
  </r>
  <r>
    <s v="WF_LTC_SNS"/>
    <x v="9"/>
    <d v="2021-07-09T00:00:00"/>
    <s v="F86616"/>
    <n v="5814"/>
    <n v="336"/>
    <n v="309"/>
    <n v="260"/>
    <n v="83"/>
    <n v="12"/>
    <n v="66"/>
    <n v="45"/>
    <n v="36"/>
    <n v="1"/>
    <n v="362"/>
    <n v="239"/>
    <n v="219"/>
    <n v="195"/>
    <n v="815"/>
    <n v="521"/>
    <n v="294"/>
    <n v="86"/>
    <n v="241"/>
    <n v="107"/>
    <n v="365"/>
    <n v="184"/>
    <n v="5"/>
    <s v="WF-2"/>
    <s v="Chingford E4"/>
    <x v="20"/>
  </r>
  <r>
    <s v="WF_LTC_SNS"/>
    <x v="9"/>
    <d v="2021-07-09T00:00:00"/>
    <s v="F86621"/>
    <n v="5179"/>
    <n v="306"/>
    <n v="290"/>
    <n v="201"/>
    <n v="239"/>
    <n v="69"/>
    <n v="30"/>
    <n v="24"/>
    <n v="20"/>
    <n v="23"/>
    <n v="262"/>
    <n v="190"/>
    <n v="186"/>
    <n v="175"/>
    <n v="604"/>
    <n v="273"/>
    <n v="331"/>
    <n v="34"/>
    <n v="151"/>
    <n v="62"/>
    <n v="272"/>
    <n v="125"/>
    <n v="5"/>
    <s v="WF-5"/>
    <s v="South Leytonstone"/>
    <x v="21"/>
  </r>
  <r>
    <s v="WF_LTC_SNS"/>
    <x v="9"/>
    <d v="2021-07-09T00:00:00"/>
    <s v="F86625"/>
    <n v="4676"/>
    <n v="418"/>
    <n v="398"/>
    <n v="301"/>
    <n v="303"/>
    <n v="51"/>
    <n v="56"/>
    <n v="45"/>
    <n v="42"/>
    <n v="28"/>
    <n v="247"/>
    <n v="179"/>
    <n v="176"/>
    <n v="170"/>
    <n v="697"/>
    <n v="335"/>
    <n v="362"/>
    <n v="147"/>
    <n v="197"/>
    <n v="82"/>
    <n v="277"/>
    <n v="147"/>
    <n v="1"/>
    <s v="WF-5"/>
    <s v="South Leytonstone"/>
    <x v="22"/>
  </r>
  <r>
    <s v="WF_LTC_SNS"/>
    <x v="9"/>
    <d v="2021-07-09T00:00:00"/>
    <s v="F86626"/>
    <n v="5102"/>
    <n v="282"/>
    <n v="268"/>
    <n v="191"/>
    <n v="190"/>
    <n v="32"/>
    <n v="24"/>
    <n v="21"/>
    <n v="7"/>
    <n v="5"/>
    <n v="178"/>
    <n v="135"/>
    <n v="128"/>
    <n v="127"/>
    <n v="523"/>
    <n v="311"/>
    <n v="212"/>
    <n v="55"/>
    <n v="109"/>
    <n v="45"/>
    <n v="168"/>
    <n v="92"/>
    <n v="15"/>
    <s v="WF-1"/>
    <s v="Chingford/ Walthamstow"/>
    <x v="23"/>
  </r>
  <r>
    <s v="WF_LTC_SNS"/>
    <x v="9"/>
    <d v="2021-07-09T00:00:00"/>
    <s v="F86627"/>
    <n v="10666"/>
    <n v="796"/>
    <n v="753"/>
    <n v="370"/>
    <n v="274"/>
    <n v="23"/>
    <n v="231"/>
    <n v="177"/>
    <n v="83"/>
    <n v="155"/>
    <n v="704"/>
    <n v="351"/>
    <n v="333"/>
    <n v="321"/>
    <n v="1832"/>
    <n v="756"/>
    <n v="1076"/>
    <n v="204"/>
    <n v="603"/>
    <n v="256"/>
    <n v="829"/>
    <n v="392"/>
    <n v="72"/>
    <s v="WF-2"/>
    <s v="Chingford E4"/>
    <x v="24"/>
  </r>
  <r>
    <s v="WF_LTC_SNS"/>
    <x v="9"/>
    <d v="2021-07-09T00:00:00"/>
    <s v="F86644"/>
    <n v="7424"/>
    <n v="525"/>
    <n v="503"/>
    <n v="181"/>
    <n v="345"/>
    <n v="29"/>
    <n v="94"/>
    <n v="57"/>
    <n v="39"/>
    <n v="49"/>
    <n v="364"/>
    <n v="154"/>
    <n v="126"/>
    <n v="116"/>
    <n v="1126"/>
    <n v="397"/>
    <n v="729"/>
    <n v="97"/>
    <n v="257"/>
    <n v="114"/>
    <n v="400"/>
    <n v="185"/>
    <n v="16"/>
    <s v="WF-6"/>
    <s v="Central Walthamstow"/>
    <x v="25"/>
  </r>
  <r>
    <s v="WF_LTC_SNS"/>
    <x v="9"/>
    <d v="2021-07-09T00:00:00"/>
    <s v="F86650"/>
    <n v="6313"/>
    <n v="497"/>
    <n v="465"/>
    <n v="250"/>
    <n v="395"/>
    <n v="43"/>
    <n v="60"/>
    <n v="44"/>
    <n v="41"/>
    <n v="41"/>
    <n v="340"/>
    <n v="263"/>
    <n v="261"/>
    <n v="247"/>
    <n v="696"/>
    <n v="229"/>
    <n v="467"/>
    <n v="46"/>
    <n v="191"/>
    <n v="90"/>
    <n v="320"/>
    <n v="157"/>
    <n v="29"/>
    <s v="WF-4"/>
    <s v="Forest Integrated Health"/>
    <x v="26"/>
  </r>
  <r>
    <s v="WF_LTC_SNS"/>
    <x v="9"/>
    <d v="2021-07-09T00:00:00"/>
    <s v="F86664"/>
    <n v="6481"/>
    <n v="416"/>
    <n v="377"/>
    <n v="183"/>
    <n v="274"/>
    <n v="25"/>
    <n v="102"/>
    <n v="78"/>
    <n v="50"/>
    <n v="53"/>
    <n v="324"/>
    <n v="263"/>
    <n v="251"/>
    <n v="245"/>
    <n v="879"/>
    <n v="422"/>
    <n v="457"/>
    <n v="21"/>
    <n v="264"/>
    <n v="87"/>
    <n v="387"/>
    <n v="197"/>
    <n v="33"/>
    <s v="WF-1"/>
    <s v="Chingford/ Walthamstow"/>
    <x v="27"/>
  </r>
  <r>
    <s v="WF_LTC_SNS"/>
    <x v="9"/>
    <d v="2021-07-09T00:00:00"/>
    <s v="F86666"/>
    <n v="11707"/>
    <n v="864"/>
    <n v="828"/>
    <n v="535"/>
    <n v="520"/>
    <n v="70"/>
    <n v="119"/>
    <n v="87"/>
    <n v="74"/>
    <n v="77"/>
    <n v="559"/>
    <n v="386"/>
    <n v="364"/>
    <n v="341"/>
    <n v="1780"/>
    <n v="884"/>
    <n v="896"/>
    <n v="274"/>
    <n v="314"/>
    <n v="166"/>
    <n v="411"/>
    <n v="235"/>
    <n v="20"/>
    <s v="WF-5"/>
    <s v="South Leytonstone"/>
    <x v="28"/>
  </r>
  <r>
    <s v="WF_LTC_SNS"/>
    <x v="9"/>
    <d v="2021-07-09T00:00:00"/>
    <s v="F86679"/>
    <n v="4431"/>
    <n v="228"/>
    <n v="215"/>
    <n v="196"/>
    <n v="144"/>
    <n v="54"/>
    <n v="29"/>
    <n v="24"/>
    <n v="22"/>
    <n v="10"/>
    <n v="196"/>
    <n v="173"/>
    <n v="171"/>
    <n v="154"/>
    <n v="463"/>
    <n v="280"/>
    <n v="183"/>
    <n v="28"/>
    <n v="83"/>
    <n v="44"/>
    <n v="127"/>
    <n v="62"/>
    <n v="8"/>
    <s v="WF-7"/>
    <s v="Walthamstow West"/>
    <x v="29"/>
  </r>
  <r>
    <s v="WF_LTC_SNS"/>
    <x v="9"/>
    <d v="2021-07-09T00:00:00"/>
    <s v="F86689"/>
    <n v="3243"/>
    <n v="123"/>
    <n v="111"/>
    <n v="80"/>
    <n v="63"/>
    <n v="12"/>
    <n v="40"/>
    <n v="29"/>
    <n v="7"/>
    <n v="1"/>
    <n v="182"/>
    <n v="111"/>
    <n v="110"/>
    <n v="110"/>
    <n v="294"/>
    <n v="173"/>
    <n v="121"/>
    <n v="18"/>
    <n v="72"/>
    <n v="32"/>
    <n v="106"/>
    <n v="51"/>
    <n v="16"/>
    <s v="WF-1"/>
    <s v="Chingford/ Walthamstow"/>
    <x v="30"/>
  </r>
  <r>
    <s v="WF_LTC_SNS"/>
    <x v="9"/>
    <d v="2021-07-09T00:00:00"/>
    <s v="F86696"/>
    <n v="5383"/>
    <n v="360"/>
    <n v="345"/>
    <n v="298"/>
    <n v="89"/>
    <n v="6"/>
    <n v="24"/>
    <n v="23"/>
    <n v="18"/>
    <n v="23"/>
    <n v="224"/>
    <n v="137"/>
    <n v="131"/>
    <n v="131"/>
    <n v="608"/>
    <n v="362"/>
    <n v="246"/>
    <n v="121"/>
    <n v="137"/>
    <n v="70"/>
    <n v="204"/>
    <n v="110"/>
    <n v="17"/>
    <s v="WF-4"/>
    <s v="Forest Integrated Health"/>
    <x v="31"/>
  </r>
  <r>
    <s v="WF_LTC_SNS"/>
    <x v="9"/>
    <d v="2021-07-09T00:00:00"/>
    <s v="F86700"/>
    <n v="3054"/>
    <n v="215"/>
    <n v="198"/>
    <n v="139"/>
    <n v="66"/>
    <n v="8"/>
    <n v="111"/>
    <n v="79"/>
    <n v="41"/>
    <n v="5"/>
    <n v="220"/>
    <n v="142"/>
    <n v="137"/>
    <n v="102"/>
    <n v="756"/>
    <n v="502"/>
    <n v="254"/>
    <n v="37"/>
    <n v="216"/>
    <n v="75"/>
    <n v="260"/>
    <n v="152"/>
    <n v="33"/>
    <s v="WF-1"/>
    <s v="Chingford/ Walthamstow"/>
    <x v="32"/>
  </r>
  <r>
    <s v="WF_LTC_SNS"/>
    <x v="9"/>
    <d v="2021-07-09T00:00:00"/>
    <s v="F86701"/>
    <n v="2983"/>
    <n v="245"/>
    <n v="233"/>
    <n v="194"/>
    <n v="176"/>
    <n v="37"/>
    <n v="25"/>
    <n v="20"/>
    <n v="14"/>
    <n v="15"/>
    <n v="132"/>
    <n v="93"/>
    <n v="92"/>
    <n v="85"/>
    <n v="456"/>
    <n v="274"/>
    <n v="182"/>
    <n v="50"/>
    <n v="88"/>
    <n v="42"/>
    <n v="123"/>
    <n v="83"/>
    <n v="12"/>
    <s v="WF-5"/>
    <s v="South Leytonstone"/>
    <x v="33"/>
  </r>
  <r>
    <s v="WF_LTC_SNS"/>
    <x v="9"/>
    <d v="2021-07-09T00:00:00"/>
    <s v="F86705"/>
    <n v="2938"/>
    <n v="214"/>
    <n v="205"/>
    <n v="157"/>
    <n v="141"/>
    <n v="17"/>
    <n v="27"/>
    <n v="25"/>
    <n v="11"/>
    <n v="6"/>
    <n v="92"/>
    <n v="83"/>
    <n v="75"/>
    <n v="69"/>
    <n v="337"/>
    <n v="168"/>
    <n v="169"/>
    <n v="39"/>
    <n v="85"/>
    <n v="43"/>
    <n v="123"/>
    <n v="47"/>
    <n v="6"/>
    <s v="WF-5"/>
    <s v="South Leytonstone"/>
    <x v="34"/>
  </r>
  <r>
    <s v="WF_LTC_SNS"/>
    <x v="9"/>
    <d v="2021-07-09T00:00:00"/>
    <s v="F86708"/>
    <n v="2145"/>
    <n v="202"/>
    <n v="192"/>
    <n v="138"/>
    <n v="100"/>
    <n v="10"/>
    <n v="15"/>
    <n v="4"/>
    <n v="4"/>
    <n v="3"/>
    <n v="148"/>
    <n v="93"/>
    <n v="87"/>
    <n v="44"/>
    <n v="360"/>
    <n v="117"/>
    <n v="243"/>
    <n v="35"/>
    <n v="86"/>
    <n v="41"/>
    <n v="128"/>
    <n v="57"/>
    <n v="17"/>
    <s v="WF-6"/>
    <s v="Central Walthamstow"/>
    <x v="35"/>
  </r>
  <r>
    <s v="WF_LTC_SNS"/>
    <x v="9"/>
    <d v="2021-07-09T00:00:00"/>
    <s v="F86712"/>
    <n v="2713"/>
    <n v="202"/>
    <n v="191"/>
    <n v="47"/>
    <n v="162"/>
    <n v="25"/>
    <n v="14"/>
    <n v="10"/>
    <n v="8"/>
    <n v="10"/>
    <n v="96"/>
    <n v="63"/>
    <n v="52"/>
    <n v="45"/>
    <n v="338"/>
    <n v="145"/>
    <n v="193"/>
    <n v="61"/>
    <n v="64"/>
    <n v="28"/>
    <n v="131"/>
    <n v="57"/>
    <n v="7"/>
    <s v="WF-4"/>
    <s v="Forest Integrated Health"/>
    <x v="36"/>
  </r>
  <r>
    <s v="WF_LTC_SNS"/>
    <x v="9"/>
    <d v="2021-07-09T00:00:00"/>
    <s v="Y01291"/>
    <n v="6961"/>
    <n v="478"/>
    <n v="450"/>
    <n v="320"/>
    <n v="174"/>
    <n v="23"/>
    <n v="116"/>
    <n v="99"/>
    <n v="47"/>
    <n v="38"/>
    <n v="455"/>
    <n v="326"/>
    <n v="292"/>
    <n v="166"/>
    <n v="1221"/>
    <n v="521"/>
    <n v="700"/>
    <n v="107"/>
    <n v="307"/>
    <n v="141"/>
    <n v="493"/>
    <n v="205"/>
    <n v="8"/>
    <s v="WF-2"/>
    <s v="Chingford E4"/>
    <x v="37"/>
  </r>
  <r>
    <s v="WF_LTC_SNS"/>
    <x v="9"/>
    <d v="2021-07-09T00:00:00"/>
    <s v="Y01839"/>
    <n v="4955"/>
    <n v="405"/>
    <n v="382"/>
    <n v="125"/>
    <n v="270"/>
    <n v="22"/>
    <n v="80"/>
    <n v="32"/>
    <n v="16"/>
    <n v="15"/>
    <n v="313"/>
    <n v="110"/>
    <n v="109"/>
    <n v="110"/>
    <n v="716"/>
    <n v="259"/>
    <n v="457"/>
    <n v="37"/>
    <n v="165"/>
    <n v="86"/>
    <n v="275"/>
    <n v="106"/>
    <n v="25"/>
    <s v="WF-1"/>
    <s v="Chingford/ Walthamstow"/>
    <x v="38"/>
  </r>
  <r>
    <s v="WF_LTC_SNS"/>
    <x v="10"/>
    <d v="2021-07-09T00:00:00"/>
    <s v="F86001"/>
    <n v="6173"/>
    <n v="520"/>
    <n v="491"/>
    <n v="262"/>
    <n v="317"/>
    <n v="42"/>
    <n v="86"/>
    <n v="49"/>
    <n v="27"/>
    <n v="33"/>
    <n v="317"/>
    <n v="138"/>
    <n v="127"/>
    <n v="131"/>
    <n v="893"/>
    <n v="320"/>
    <n v="573"/>
    <n v="76"/>
    <n v="235"/>
    <n v="107"/>
    <n v="318"/>
    <n v="135"/>
    <n v="14"/>
    <s v="WF-6"/>
    <s v="Central Walthamstow"/>
    <x v="5"/>
  </r>
  <r>
    <s v="WF_LTC_SNS"/>
    <x v="10"/>
    <d v="2021-07-09T00:00:00"/>
    <s v="F86004"/>
    <n v="12507"/>
    <n v="674"/>
    <n v="629"/>
    <n v="333"/>
    <n v="381"/>
    <n v="39"/>
    <n v="160"/>
    <n v="144"/>
    <n v="93"/>
    <n v="87"/>
    <n v="754"/>
    <n v="463"/>
    <n v="442"/>
    <n v="435"/>
    <n v="1953"/>
    <n v="416"/>
    <n v="1537"/>
    <n v="705"/>
    <n v="545"/>
    <n v="275"/>
    <n v="795"/>
    <n v="405"/>
    <n v="0"/>
    <s v="WF-2"/>
    <s v="Chingford E4"/>
    <x v="0"/>
  </r>
  <r>
    <s v="WF_LTC_SNS"/>
    <x v="10"/>
    <d v="2021-07-09T00:00:00"/>
    <s v="F86005"/>
    <n v="7119"/>
    <n v="348"/>
    <n v="319"/>
    <n v="210"/>
    <n v="227"/>
    <n v="43"/>
    <n v="108"/>
    <n v="62"/>
    <n v="14"/>
    <n v="25"/>
    <n v="344"/>
    <n v="210"/>
    <n v="204"/>
    <n v="196"/>
    <n v="798"/>
    <n v="460"/>
    <n v="338"/>
    <n v="104"/>
    <n v="156"/>
    <n v="80"/>
    <n v="267"/>
    <n v="135"/>
    <n v="24"/>
    <s v="WF-1"/>
    <s v="Chingford/ Walthamstow"/>
    <x v="6"/>
  </r>
  <r>
    <s v="WF_LTC_SNS"/>
    <x v="10"/>
    <d v="2021-07-09T00:00:00"/>
    <s v="F86006"/>
    <n v="5226"/>
    <n v="419"/>
    <n v="400"/>
    <n v="299"/>
    <n v="269"/>
    <n v="35"/>
    <n v="58"/>
    <n v="37"/>
    <n v="24"/>
    <n v="28"/>
    <n v="242"/>
    <n v="131"/>
    <n v="125"/>
    <n v="129"/>
    <n v="807"/>
    <n v="332"/>
    <n v="475"/>
    <n v="117"/>
    <n v="173"/>
    <n v="98"/>
    <n v="296"/>
    <n v="142"/>
    <n v="14"/>
    <s v="WF-7"/>
    <s v="Walthamstow West"/>
    <x v="7"/>
  </r>
  <r>
    <s v="WF_LTC_SNS"/>
    <x v="10"/>
    <d v="2021-07-09T00:00:00"/>
    <s v="F86011"/>
    <n v="7711"/>
    <n v="729"/>
    <n v="692"/>
    <n v="564"/>
    <n v="323"/>
    <n v="67"/>
    <n v="94"/>
    <n v="89"/>
    <n v="86"/>
    <n v="79"/>
    <n v="341"/>
    <n v="296"/>
    <n v="291"/>
    <n v="292"/>
    <n v="1131"/>
    <n v="590"/>
    <n v="541"/>
    <n v="128"/>
    <n v="351"/>
    <n v="189"/>
    <n v="499"/>
    <n v="231"/>
    <n v="54"/>
    <s v="WF-3"/>
    <s v="Leyton Collaborative"/>
    <x v="8"/>
  </r>
  <r>
    <s v="WF_LTC_SNS"/>
    <x v="10"/>
    <d v="2021-07-09T00:00:00"/>
    <s v="F86018"/>
    <n v="7804"/>
    <n v="663"/>
    <n v="616"/>
    <n v="166"/>
    <n v="426"/>
    <n v="26"/>
    <n v="107"/>
    <n v="90"/>
    <n v="4"/>
    <n v="3"/>
    <n v="393"/>
    <n v="291"/>
    <n v="288"/>
    <n v="278"/>
    <n v="1312"/>
    <n v="384"/>
    <n v="928"/>
    <n v="485"/>
    <n v="345"/>
    <n v="124"/>
    <n v="450"/>
    <n v="209"/>
    <n v="48"/>
    <s v="WF-4"/>
    <s v="Forest Integrated Health"/>
    <x v="1"/>
  </r>
  <r>
    <s v="WF_LTC_SNS"/>
    <x v="10"/>
    <d v="2021-07-09T00:00:00"/>
    <s v="F86026"/>
    <n v="5619"/>
    <n v="409"/>
    <n v="382"/>
    <n v="258"/>
    <n v="316"/>
    <n v="44"/>
    <n v="79"/>
    <n v="76"/>
    <n v="0"/>
    <n v="0"/>
    <n v="361"/>
    <n v="312"/>
    <n v="305"/>
    <n v="304"/>
    <n v="719"/>
    <n v="428"/>
    <n v="291"/>
    <n v="168"/>
    <n v="221"/>
    <n v="106"/>
    <n v="331"/>
    <n v="125"/>
    <n v="26"/>
    <s v="WF-1"/>
    <s v="Chingford/ Walthamstow"/>
    <x v="2"/>
  </r>
  <r>
    <s v="WF_LTC_SNS"/>
    <x v="10"/>
    <d v="2021-07-09T00:00:00"/>
    <s v="F86030"/>
    <n v="6241"/>
    <n v="552"/>
    <n v="536"/>
    <n v="488"/>
    <n v="447"/>
    <n v="118"/>
    <n v="38"/>
    <n v="15"/>
    <n v="10"/>
    <n v="13"/>
    <n v="342"/>
    <n v="273"/>
    <n v="244"/>
    <n v="260"/>
    <n v="711"/>
    <n v="370"/>
    <n v="341"/>
    <n v="103"/>
    <n v="203"/>
    <n v="130"/>
    <n v="335"/>
    <n v="163"/>
    <n v="24"/>
    <s v="WF-7"/>
    <s v="Walthamstow West"/>
    <x v="9"/>
  </r>
  <r>
    <s v="WF_LTC_SNS"/>
    <x v="10"/>
    <d v="2021-07-09T00:00:00"/>
    <s v="F86036"/>
    <n v="12171"/>
    <n v="788"/>
    <n v="719"/>
    <n v="293"/>
    <n v="571"/>
    <n v="51"/>
    <n v="109"/>
    <n v="40"/>
    <n v="25"/>
    <n v="28"/>
    <n v="602"/>
    <n v="152"/>
    <n v="126"/>
    <n v="95"/>
    <n v="1445"/>
    <n v="385"/>
    <n v="1060"/>
    <n v="77"/>
    <n v="354"/>
    <n v="156"/>
    <n v="558"/>
    <n v="217"/>
    <n v="50"/>
    <s v="WF-4"/>
    <s v="Forest Integrated Health"/>
    <x v="10"/>
  </r>
  <r>
    <s v="WF_LTC_SNS"/>
    <x v="10"/>
    <d v="2021-07-09T00:00:00"/>
    <s v="F86038"/>
    <n v="8553"/>
    <n v="796"/>
    <n v="769"/>
    <n v="653"/>
    <n v="432"/>
    <n v="71"/>
    <n v="47"/>
    <n v="44"/>
    <n v="42"/>
    <n v="36"/>
    <n v="437"/>
    <n v="342"/>
    <n v="336"/>
    <n v="333"/>
    <n v="1103"/>
    <n v="570"/>
    <n v="533"/>
    <n v="140"/>
    <n v="343"/>
    <n v="189"/>
    <n v="447"/>
    <n v="186"/>
    <n v="72"/>
    <s v="WF-3"/>
    <s v="Leyton Collaborative"/>
    <x v="11"/>
  </r>
  <r>
    <s v="WF_LTC_SNS"/>
    <x v="10"/>
    <d v="2021-07-09T00:00:00"/>
    <s v="F86044"/>
    <n v="8009"/>
    <n v="384"/>
    <n v="350"/>
    <n v="188"/>
    <n v="219"/>
    <n v="14"/>
    <n v="32"/>
    <n v="10"/>
    <n v="8"/>
    <n v="8"/>
    <n v="315"/>
    <n v="153"/>
    <n v="147"/>
    <n v="132"/>
    <n v="747"/>
    <n v="257"/>
    <n v="490"/>
    <n v="95"/>
    <n v="143"/>
    <n v="83"/>
    <n v="249"/>
    <n v="135"/>
    <n v="26"/>
    <s v="WF-4"/>
    <s v="Forest Integrated Health"/>
    <x v="12"/>
  </r>
  <r>
    <s v="WF_LTC_SNS"/>
    <x v="10"/>
    <d v="2021-07-09T00:00:00"/>
    <s v="F86045"/>
    <n v="1678"/>
    <n v="126"/>
    <n v="123"/>
    <n v="108"/>
    <n v="105"/>
    <n v="10"/>
    <n v="19"/>
    <n v="15"/>
    <n v="10"/>
    <n v="3"/>
    <n v="85"/>
    <n v="53"/>
    <n v="53"/>
    <n v="53"/>
    <n v="262"/>
    <n v="106"/>
    <n v="156"/>
    <n v="27"/>
    <n v="73"/>
    <n v="32"/>
    <n v="78"/>
    <n v="22"/>
    <n v="11"/>
    <s v="WF-5"/>
    <s v="South Leytonstone"/>
    <x v="13"/>
  </r>
  <r>
    <s v="WF_LTC_SNS"/>
    <x v="10"/>
    <d v="2021-07-09T00:00:00"/>
    <s v="F86058"/>
    <n v="12611"/>
    <n v="778"/>
    <n v="722"/>
    <n v="378"/>
    <n v="568"/>
    <n v="82"/>
    <n v="105"/>
    <n v="4"/>
    <n v="0"/>
    <n v="1"/>
    <n v="573"/>
    <n v="95"/>
    <n v="39"/>
    <n v="28"/>
    <n v="1446"/>
    <n v="603"/>
    <n v="843"/>
    <n v="110"/>
    <n v="333"/>
    <n v="184"/>
    <n v="488"/>
    <n v="248"/>
    <n v="26"/>
    <s v="WF-7"/>
    <s v="Walthamstow West"/>
    <x v="14"/>
  </r>
  <r>
    <s v="WF_LTC_SNS"/>
    <x v="10"/>
    <d v="2021-07-09T00:00:00"/>
    <s v="F86062"/>
    <n v="5887"/>
    <n v="459"/>
    <n v="431"/>
    <n v="159"/>
    <n v="301"/>
    <n v="44"/>
    <n v="67"/>
    <n v="18"/>
    <n v="1"/>
    <n v="2"/>
    <n v="261"/>
    <n v="128"/>
    <n v="84"/>
    <n v="63"/>
    <n v="811"/>
    <n v="289"/>
    <n v="522"/>
    <n v="67"/>
    <n v="206"/>
    <n v="112"/>
    <n v="299"/>
    <n v="159"/>
    <n v="40"/>
    <s v="WF-7"/>
    <s v="Walthamstow West"/>
    <x v="15"/>
  </r>
  <r>
    <s v="WF_LTC_SNS"/>
    <x v="10"/>
    <d v="2021-07-09T00:00:00"/>
    <s v="F86074"/>
    <n v="11824"/>
    <n v="859"/>
    <n v="821"/>
    <n v="706"/>
    <n v="678"/>
    <n v="97"/>
    <n v="112"/>
    <n v="106"/>
    <n v="44"/>
    <n v="74"/>
    <n v="579"/>
    <n v="428"/>
    <n v="413"/>
    <n v="421"/>
    <n v="1488"/>
    <n v="695"/>
    <n v="793"/>
    <n v="503"/>
    <n v="576"/>
    <n v="215"/>
    <n v="494"/>
    <n v="225"/>
    <n v="2"/>
    <s v="WF-3"/>
    <s v="Leyton Collaborative"/>
    <x v="3"/>
  </r>
  <r>
    <s v="WF_LTC_SNS"/>
    <x v="10"/>
    <d v="2021-07-09T00:00:00"/>
    <s v="F86078"/>
    <n v="5716"/>
    <n v="344"/>
    <n v="316"/>
    <n v="121"/>
    <n v="164"/>
    <n v="8"/>
    <n v="74"/>
    <n v="42"/>
    <n v="8"/>
    <n v="29"/>
    <n v="320"/>
    <n v="134"/>
    <n v="116"/>
    <n v="107"/>
    <n v="1097"/>
    <n v="417"/>
    <n v="680"/>
    <n v="26"/>
    <n v="284"/>
    <n v="128"/>
    <n v="486"/>
    <n v="278"/>
    <n v="18"/>
    <s v="WF-2"/>
    <s v="Chingford E4"/>
    <x v="16"/>
  </r>
  <r>
    <s v="WF_LTC_SNS"/>
    <x v="10"/>
    <d v="2021-07-09T00:00:00"/>
    <s v="F86086"/>
    <n v="4518"/>
    <n v="297"/>
    <n v="284"/>
    <n v="89"/>
    <n v="165"/>
    <n v="2"/>
    <n v="33"/>
    <n v="9"/>
    <n v="0"/>
    <n v="5"/>
    <n v="203"/>
    <n v="7"/>
    <n v="7"/>
    <n v="6"/>
    <n v="482"/>
    <n v="76"/>
    <n v="406"/>
    <n v="21"/>
    <n v="128"/>
    <n v="71"/>
    <n v="176"/>
    <n v="88"/>
    <n v="3"/>
    <s v="WF-6"/>
    <s v="Central Walthamstow"/>
    <x v="17"/>
  </r>
  <r>
    <s v="WF_LTC_SNS"/>
    <x v="10"/>
    <d v="2021-07-09T00:00:00"/>
    <s v="F86088"/>
    <n v="4006"/>
    <n v="363"/>
    <n v="346"/>
    <n v="40"/>
    <n v="165"/>
    <n v="13"/>
    <n v="36"/>
    <n v="11"/>
    <n v="0"/>
    <n v="0"/>
    <n v="200"/>
    <n v="88"/>
    <n v="69"/>
    <n v="62"/>
    <n v="659"/>
    <n v="192"/>
    <n v="467"/>
    <n v="29"/>
    <n v="129"/>
    <n v="58"/>
    <n v="211"/>
    <n v="123"/>
    <n v="23"/>
    <s v="WF-4"/>
    <s v="Forest Integrated Health"/>
    <x v="18"/>
  </r>
  <r>
    <s v="WF_LTC_SNS"/>
    <x v="10"/>
    <d v="2021-07-09T00:00:00"/>
    <s v="F86607"/>
    <n v="11326"/>
    <n v="664"/>
    <n v="626"/>
    <n v="436"/>
    <n v="348"/>
    <n v="35"/>
    <n v="89"/>
    <n v="65"/>
    <n v="39"/>
    <n v="45"/>
    <n v="634"/>
    <n v="426"/>
    <n v="384"/>
    <n v="376"/>
    <n v="1249"/>
    <n v="625"/>
    <n v="624"/>
    <n v="144"/>
    <n v="303"/>
    <n v="147"/>
    <n v="441"/>
    <n v="198"/>
    <n v="4"/>
    <s v="WF-6"/>
    <s v="Central Walthamstow"/>
    <x v="19"/>
  </r>
  <r>
    <s v="WF_LTC_SNS"/>
    <x v="10"/>
    <d v="2021-07-09T00:00:00"/>
    <s v="F86616"/>
    <n v="5854"/>
    <n v="338"/>
    <n v="311"/>
    <n v="257"/>
    <n v="92"/>
    <n v="14"/>
    <n v="66"/>
    <n v="48"/>
    <n v="39"/>
    <n v="3"/>
    <n v="368"/>
    <n v="251"/>
    <n v="234"/>
    <n v="212"/>
    <n v="815"/>
    <n v="542"/>
    <n v="273"/>
    <n v="91"/>
    <n v="239"/>
    <n v="109"/>
    <n v="368"/>
    <n v="181"/>
    <n v="7"/>
    <s v="WF-2"/>
    <s v="Chingford E4"/>
    <x v="20"/>
  </r>
  <r>
    <s v="WF_LTC_SNS"/>
    <x v="10"/>
    <d v="2021-07-09T00:00:00"/>
    <s v="F86621"/>
    <n v="5224"/>
    <n v="308"/>
    <n v="292"/>
    <n v="208"/>
    <n v="241"/>
    <n v="68"/>
    <n v="30"/>
    <n v="24"/>
    <n v="20"/>
    <n v="23"/>
    <n v="262"/>
    <n v="188"/>
    <n v="185"/>
    <n v="176"/>
    <n v="600"/>
    <n v="275"/>
    <n v="325"/>
    <n v="36"/>
    <n v="150"/>
    <n v="60"/>
    <n v="269"/>
    <n v="121"/>
    <n v="11"/>
    <s v="WF-5"/>
    <s v="South Leytonstone"/>
    <x v="21"/>
  </r>
  <r>
    <s v="WF_LTC_SNS"/>
    <x v="10"/>
    <d v="2021-07-09T00:00:00"/>
    <s v="F86625"/>
    <n v="4671"/>
    <n v="421"/>
    <n v="401"/>
    <n v="290"/>
    <n v="304"/>
    <n v="46"/>
    <n v="57"/>
    <n v="35"/>
    <n v="32"/>
    <n v="29"/>
    <n v="243"/>
    <n v="149"/>
    <n v="147"/>
    <n v="140"/>
    <n v="697"/>
    <n v="336"/>
    <n v="361"/>
    <n v="152"/>
    <n v="203"/>
    <n v="86"/>
    <n v="285"/>
    <n v="156"/>
    <n v="1"/>
    <s v="WF-5"/>
    <s v="South Leytonstone"/>
    <x v="22"/>
  </r>
  <r>
    <s v="WF_LTC_SNS"/>
    <x v="10"/>
    <d v="2021-07-09T00:00:00"/>
    <s v="F86626"/>
    <n v="5184"/>
    <n v="288"/>
    <n v="275"/>
    <n v="185"/>
    <n v="193"/>
    <n v="31"/>
    <n v="24"/>
    <n v="18"/>
    <n v="6"/>
    <n v="5"/>
    <n v="181"/>
    <n v="108"/>
    <n v="97"/>
    <n v="95"/>
    <n v="531"/>
    <n v="312"/>
    <n v="219"/>
    <n v="54"/>
    <n v="109"/>
    <n v="45"/>
    <n v="174"/>
    <n v="93"/>
    <n v="15"/>
    <s v="WF-1"/>
    <s v="Chingford/ Walthamstow"/>
    <x v="23"/>
  </r>
  <r>
    <s v="WF_LTC_SNS"/>
    <x v="10"/>
    <d v="2021-07-09T00:00:00"/>
    <s v="F86627"/>
    <n v="10686"/>
    <n v="809"/>
    <n v="764"/>
    <n v="374"/>
    <n v="269"/>
    <n v="23"/>
    <n v="229"/>
    <n v="180"/>
    <n v="80"/>
    <n v="156"/>
    <n v="711"/>
    <n v="367"/>
    <n v="353"/>
    <n v="348"/>
    <n v="1835"/>
    <n v="825"/>
    <n v="1010"/>
    <n v="209"/>
    <n v="604"/>
    <n v="257"/>
    <n v="833"/>
    <n v="390"/>
    <n v="69"/>
    <s v="WF-2"/>
    <s v="Chingford E4"/>
    <x v="24"/>
  </r>
  <r>
    <s v="WF_LTC_SNS"/>
    <x v="10"/>
    <d v="2021-07-09T00:00:00"/>
    <s v="F86638"/>
    <n v="4071"/>
    <n v="373"/>
    <n v="359"/>
    <n v="263"/>
    <n v="263"/>
    <n v="39"/>
    <n v="64"/>
    <n v="59"/>
    <n v="11"/>
    <n v="2"/>
    <n v="203"/>
    <n v="151"/>
    <n v="147"/>
    <n v="140"/>
    <n v="775"/>
    <n v="251"/>
    <n v="524"/>
    <n v="370"/>
    <n v="196"/>
    <n v="93"/>
    <n v="263"/>
    <n v="104"/>
    <n v="36"/>
    <s v="WF-1"/>
    <s v="Chingford/ Walthamstow"/>
    <x v="4"/>
  </r>
  <r>
    <s v="WF_LTC_SNS"/>
    <x v="10"/>
    <d v="2021-07-09T00:00:00"/>
    <s v="F86644"/>
    <n v="7491"/>
    <n v="526"/>
    <n v="503"/>
    <n v="198"/>
    <n v="338"/>
    <n v="28"/>
    <n v="95"/>
    <n v="63"/>
    <n v="49"/>
    <n v="56"/>
    <n v="366"/>
    <n v="169"/>
    <n v="142"/>
    <n v="132"/>
    <n v="1130"/>
    <n v="431"/>
    <n v="699"/>
    <n v="92"/>
    <n v="258"/>
    <n v="114"/>
    <n v="401"/>
    <n v="180"/>
    <n v="16"/>
    <s v="WF-6"/>
    <s v="Central Walthamstow"/>
    <x v="25"/>
  </r>
  <r>
    <s v="WF_LTC_SNS"/>
    <x v="10"/>
    <d v="2021-07-09T00:00:00"/>
    <s v="F86650"/>
    <n v="6328"/>
    <n v="500"/>
    <n v="469"/>
    <n v="266"/>
    <n v="394"/>
    <n v="46"/>
    <n v="60"/>
    <n v="43"/>
    <n v="41"/>
    <n v="41"/>
    <n v="339"/>
    <n v="260"/>
    <n v="258"/>
    <n v="245"/>
    <n v="696"/>
    <n v="262"/>
    <n v="434"/>
    <n v="65"/>
    <n v="191"/>
    <n v="89"/>
    <n v="321"/>
    <n v="156"/>
    <n v="29"/>
    <s v="WF-4"/>
    <s v="Forest Integrated Health"/>
    <x v="26"/>
  </r>
  <r>
    <s v="WF_LTC_SNS"/>
    <x v="10"/>
    <d v="2021-07-09T00:00:00"/>
    <s v="F86664"/>
    <n v="6493"/>
    <n v="414"/>
    <n v="375"/>
    <n v="191"/>
    <n v="275"/>
    <n v="24"/>
    <n v="102"/>
    <n v="76"/>
    <n v="49"/>
    <n v="54"/>
    <n v="331"/>
    <n v="259"/>
    <n v="249"/>
    <n v="242"/>
    <n v="874"/>
    <n v="435"/>
    <n v="439"/>
    <n v="20"/>
    <n v="264"/>
    <n v="89"/>
    <n v="387"/>
    <n v="197"/>
    <n v="35"/>
    <s v="WF-1"/>
    <s v="Chingford/ Walthamstow"/>
    <x v="27"/>
  </r>
  <r>
    <s v="WF_LTC_SNS"/>
    <x v="10"/>
    <d v="2021-07-09T00:00:00"/>
    <s v="F86666"/>
    <n v="11731"/>
    <n v="872"/>
    <n v="834"/>
    <n v="567"/>
    <n v="488"/>
    <n v="60"/>
    <n v="119"/>
    <n v="93"/>
    <n v="80"/>
    <n v="83"/>
    <n v="561"/>
    <n v="400"/>
    <n v="379"/>
    <n v="361"/>
    <n v="1784"/>
    <n v="912"/>
    <n v="872"/>
    <n v="289"/>
    <n v="315"/>
    <n v="166"/>
    <n v="412"/>
    <n v="228"/>
    <n v="19"/>
    <s v="WF-5"/>
    <s v="South Leytonstone"/>
    <x v="28"/>
  </r>
  <r>
    <s v="WF_LTC_SNS"/>
    <x v="10"/>
    <d v="2021-07-09T00:00:00"/>
    <s v="F86679"/>
    <n v="4444"/>
    <n v="230"/>
    <n v="216"/>
    <n v="200"/>
    <n v="142"/>
    <n v="46"/>
    <n v="29"/>
    <n v="22"/>
    <n v="20"/>
    <n v="12"/>
    <n v="194"/>
    <n v="166"/>
    <n v="163"/>
    <n v="149"/>
    <n v="462"/>
    <n v="274"/>
    <n v="188"/>
    <n v="35"/>
    <n v="82"/>
    <n v="46"/>
    <n v="131"/>
    <n v="66"/>
    <n v="11"/>
    <s v="WF-7"/>
    <s v="Walthamstow West"/>
    <x v="29"/>
  </r>
  <r>
    <s v="WF_LTC_SNS"/>
    <x v="10"/>
    <d v="2021-07-09T00:00:00"/>
    <s v="F86689"/>
    <n v="3236"/>
    <n v="122"/>
    <n v="110"/>
    <n v="83"/>
    <n v="64"/>
    <n v="15"/>
    <n v="40"/>
    <n v="28"/>
    <n v="7"/>
    <n v="1"/>
    <n v="182"/>
    <n v="118"/>
    <n v="117"/>
    <n v="117"/>
    <n v="294"/>
    <n v="174"/>
    <n v="120"/>
    <n v="20"/>
    <n v="72"/>
    <n v="32"/>
    <n v="107"/>
    <n v="51"/>
    <n v="17"/>
    <s v="WF-1"/>
    <s v="Chingford/ Walthamstow"/>
    <x v="30"/>
  </r>
  <r>
    <s v="WF_LTC_SNS"/>
    <x v="10"/>
    <d v="2021-07-09T00:00:00"/>
    <s v="F86696"/>
    <n v="5422"/>
    <n v="361"/>
    <n v="347"/>
    <n v="291"/>
    <n v="76"/>
    <n v="6"/>
    <n v="24"/>
    <n v="15"/>
    <n v="14"/>
    <n v="15"/>
    <n v="222"/>
    <n v="173"/>
    <n v="167"/>
    <n v="166"/>
    <n v="607"/>
    <n v="353"/>
    <n v="254"/>
    <n v="118"/>
    <n v="137"/>
    <n v="82"/>
    <n v="206"/>
    <n v="107"/>
    <n v="17"/>
    <s v="WF-4"/>
    <s v="Forest Integrated Health"/>
    <x v="31"/>
  </r>
  <r>
    <s v="WF_LTC_SNS"/>
    <x v="10"/>
    <d v="2021-07-09T00:00:00"/>
    <s v="F86700"/>
    <n v="3054"/>
    <n v="216"/>
    <n v="199"/>
    <n v="125"/>
    <n v="72"/>
    <n v="13"/>
    <n v="113"/>
    <n v="68"/>
    <n v="43"/>
    <n v="6"/>
    <n v="216"/>
    <n v="123"/>
    <n v="118"/>
    <n v="98"/>
    <n v="753"/>
    <n v="509"/>
    <n v="244"/>
    <n v="47"/>
    <n v="216"/>
    <n v="76"/>
    <n v="256"/>
    <n v="154"/>
    <n v="33"/>
    <s v="WF-1"/>
    <s v="Chingford/ Walthamstow"/>
    <x v="32"/>
  </r>
  <r>
    <s v="WF_LTC_SNS"/>
    <x v="10"/>
    <d v="2021-07-09T00:00:00"/>
    <s v="F86701"/>
    <n v="2965"/>
    <n v="248"/>
    <n v="236"/>
    <n v="187"/>
    <n v="173"/>
    <n v="33"/>
    <n v="24"/>
    <n v="20"/>
    <n v="14"/>
    <n v="17"/>
    <n v="134"/>
    <n v="89"/>
    <n v="87"/>
    <n v="82"/>
    <n v="455"/>
    <n v="264"/>
    <n v="191"/>
    <n v="57"/>
    <n v="86"/>
    <n v="42"/>
    <n v="120"/>
    <n v="80"/>
    <n v="10"/>
    <s v="WF-5"/>
    <s v="South Leytonstone"/>
    <x v="33"/>
  </r>
  <r>
    <s v="WF_LTC_SNS"/>
    <x v="10"/>
    <d v="2021-07-09T00:00:00"/>
    <s v="F86705"/>
    <n v="2933"/>
    <n v="217"/>
    <n v="208"/>
    <n v="162"/>
    <n v="139"/>
    <n v="16"/>
    <n v="27"/>
    <n v="25"/>
    <n v="12"/>
    <n v="6"/>
    <n v="97"/>
    <n v="85"/>
    <n v="79"/>
    <n v="74"/>
    <n v="338"/>
    <n v="176"/>
    <n v="162"/>
    <n v="39"/>
    <n v="86"/>
    <n v="42"/>
    <n v="124"/>
    <n v="47"/>
    <n v="7"/>
    <s v="WF-5"/>
    <s v="South Leytonstone"/>
    <x v="34"/>
  </r>
  <r>
    <s v="WF_LTC_SNS"/>
    <x v="10"/>
    <d v="2021-07-09T00:00:00"/>
    <s v="F86708"/>
    <n v="2165"/>
    <n v="203"/>
    <n v="194"/>
    <n v="128"/>
    <n v="79"/>
    <n v="7"/>
    <n v="16"/>
    <n v="7"/>
    <n v="6"/>
    <n v="7"/>
    <n v="147"/>
    <n v="94"/>
    <n v="89"/>
    <n v="51"/>
    <n v="365"/>
    <n v="139"/>
    <n v="226"/>
    <n v="37"/>
    <n v="86"/>
    <n v="41"/>
    <n v="129"/>
    <n v="56"/>
    <n v="17"/>
    <s v="WF-6"/>
    <s v="Central Walthamstow"/>
    <x v="35"/>
  </r>
  <r>
    <s v="WF_LTC_SNS"/>
    <x v="10"/>
    <d v="2021-07-09T00:00:00"/>
    <s v="F86712"/>
    <n v="2726"/>
    <n v="202"/>
    <n v="191"/>
    <n v="50"/>
    <n v="161"/>
    <n v="24"/>
    <n v="13"/>
    <n v="9"/>
    <n v="7"/>
    <n v="9"/>
    <n v="98"/>
    <n v="68"/>
    <n v="62"/>
    <n v="62"/>
    <n v="338"/>
    <n v="148"/>
    <n v="190"/>
    <n v="62"/>
    <n v="64"/>
    <n v="29"/>
    <n v="132"/>
    <n v="58"/>
    <n v="7"/>
    <s v="WF-4"/>
    <s v="Forest Integrated Health"/>
    <x v="36"/>
  </r>
  <r>
    <s v="WF_LTC_SNS"/>
    <x v="10"/>
    <d v="2021-07-09T00:00:00"/>
    <s v="Y01291"/>
    <n v="6982"/>
    <n v="477"/>
    <n v="450"/>
    <n v="333"/>
    <n v="189"/>
    <n v="34"/>
    <n v="113"/>
    <n v="77"/>
    <n v="33"/>
    <n v="33"/>
    <n v="458"/>
    <n v="314"/>
    <n v="284"/>
    <n v="188"/>
    <n v="1225"/>
    <n v="561"/>
    <n v="664"/>
    <n v="115"/>
    <n v="310"/>
    <n v="145"/>
    <n v="496"/>
    <n v="210"/>
    <n v="6"/>
    <s v="WF-2"/>
    <s v="Chingford E4"/>
    <x v="37"/>
  </r>
  <r>
    <s v="WF_LTC_SNS"/>
    <x v="10"/>
    <d v="2021-07-09T00:00:00"/>
    <s v="Y01839"/>
    <n v="4955"/>
    <n v="405"/>
    <n v="382"/>
    <n v="130"/>
    <n v="271"/>
    <n v="19"/>
    <n v="80"/>
    <n v="31"/>
    <n v="15"/>
    <n v="13"/>
    <n v="314"/>
    <n v="116"/>
    <n v="115"/>
    <n v="116"/>
    <n v="715"/>
    <n v="268"/>
    <n v="447"/>
    <n v="43"/>
    <n v="165"/>
    <n v="87"/>
    <n v="279"/>
    <n v="107"/>
    <n v="25"/>
    <s v="WF-1"/>
    <s v="Chingford/ Walthamstow"/>
    <x v="38"/>
  </r>
  <r>
    <s v="WF_LTC_SNS"/>
    <x v="11"/>
    <d v="2021-08-02T00:00:00"/>
    <s v="F86001"/>
    <n v="6177"/>
    <n v="525"/>
    <n v="496"/>
    <n v="291"/>
    <n v="316"/>
    <n v="39"/>
    <n v="83"/>
    <n v="47"/>
    <n v="27"/>
    <n v="31"/>
    <n v="311"/>
    <n v="158"/>
    <n v="149"/>
    <n v="152"/>
    <n v="888"/>
    <n v="346"/>
    <n v="542"/>
    <n v="83"/>
    <n v="231"/>
    <n v="105"/>
    <n v="322"/>
    <n v="136"/>
    <n v="14"/>
    <s v="WF-6"/>
    <s v="Central Walthamstow"/>
    <x v="5"/>
  </r>
  <r>
    <s v="WF_LTC_SNS"/>
    <x v="11"/>
    <d v="2021-08-02T00:00:00"/>
    <s v="F86004"/>
    <n v="12512"/>
    <n v="678"/>
    <n v="635"/>
    <n v="331"/>
    <n v="375"/>
    <n v="37"/>
    <n v="160"/>
    <n v="137"/>
    <n v="84"/>
    <n v="76"/>
    <n v="749"/>
    <n v="467"/>
    <n v="20"/>
    <n v="444"/>
    <n v="1953"/>
    <n v="449"/>
    <n v="1504"/>
    <n v="752"/>
    <n v="550"/>
    <n v="278"/>
    <n v="798"/>
    <n v="413"/>
    <m/>
    <s v="WF-2"/>
    <s v="Chingford E4"/>
    <x v="0"/>
  </r>
  <r>
    <s v="WF_LTC_SNS"/>
    <x v="11"/>
    <d v="2021-08-02T00:00:00"/>
    <s v="F86005"/>
    <n v="7184"/>
    <n v="349"/>
    <n v="320"/>
    <n v="211"/>
    <n v="231"/>
    <n v="47"/>
    <n v="107"/>
    <n v="63"/>
    <n v="15"/>
    <n v="26"/>
    <n v="348"/>
    <n v="151"/>
    <n v="140"/>
    <n v="136"/>
    <n v="802"/>
    <n v="468"/>
    <n v="334"/>
    <n v="94"/>
    <n v="154"/>
    <n v="79"/>
    <n v="267"/>
    <n v="137"/>
    <n v="24"/>
    <s v="WF-1"/>
    <s v="Chingford/ Walthamstow"/>
    <x v="6"/>
  </r>
  <r>
    <s v="WF_LTC_SNS"/>
    <x v="11"/>
    <d v="2021-08-02T00:00:00"/>
    <s v="F86006"/>
    <n v="5214"/>
    <n v="420"/>
    <n v="400"/>
    <n v="294"/>
    <n v="273"/>
    <n v="37"/>
    <n v="57"/>
    <n v="35"/>
    <n v="24"/>
    <n v="26"/>
    <n v="242"/>
    <n v="129"/>
    <n v="124"/>
    <n v="127"/>
    <n v="803"/>
    <n v="343"/>
    <n v="460"/>
    <n v="119"/>
    <n v="170"/>
    <n v="99"/>
    <n v="295"/>
    <n v="138"/>
    <n v="19"/>
    <s v="WF-7"/>
    <s v="Walthamstow West"/>
    <x v="7"/>
  </r>
  <r>
    <s v="WF_LTC_SNS"/>
    <x v="11"/>
    <d v="2021-08-02T00:00:00"/>
    <s v="F86011"/>
    <n v="7717"/>
    <n v="738"/>
    <n v="700"/>
    <n v="602"/>
    <n v="317"/>
    <n v="63"/>
    <n v="93"/>
    <n v="88"/>
    <n v="85"/>
    <n v="78"/>
    <n v="341"/>
    <n v="298"/>
    <n v="293"/>
    <n v="294"/>
    <n v="1134"/>
    <n v="595"/>
    <n v="539"/>
    <n v="146"/>
    <n v="351"/>
    <n v="194"/>
    <n v="508"/>
    <n v="229"/>
    <n v="61"/>
    <s v="WF-3"/>
    <s v="Leyton Collaborative"/>
    <x v="8"/>
  </r>
  <r>
    <s v="WF_LTC_SNS"/>
    <x v="11"/>
    <d v="2021-08-02T00:00:00"/>
    <s v="F86018"/>
    <n v="7780"/>
    <n v="668"/>
    <n v="620"/>
    <n v="171"/>
    <n v="428"/>
    <n v="29"/>
    <n v="109"/>
    <n v="90"/>
    <n v="4"/>
    <n v="3"/>
    <n v="399"/>
    <n v="301"/>
    <n v="3"/>
    <n v="290"/>
    <n v="1307"/>
    <n v="400"/>
    <n v="907"/>
    <n v="505"/>
    <n v="344"/>
    <n v="124"/>
    <n v="450"/>
    <n v="211"/>
    <n v="46"/>
    <s v="WF-4"/>
    <s v="Forest Integrated Health"/>
    <x v="1"/>
  </r>
  <r>
    <s v="WF_LTC_SNS"/>
    <x v="11"/>
    <d v="2021-08-02T00:00:00"/>
    <s v="F86026"/>
    <n v="5587"/>
    <n v="407"/>
    <n v="379"/>
    <n v="207"/>
    <n v="312"/>
    <n v="39"/>
    <n v="76"/>
    <n v="73"/>
    <m/>
    <m/>
    <n v="359"/>
    <n v="355"/>
    <n v="51"/>
    <n v="302"/>
    <n v="715"/>
    <n v="402"/>
    <n v="313"/>
    <n v="174"/>
    <n v="220"/>
    <n v="108"/>
    <n v="335"/>
    <n v="132"/>
    <n v="26"/>
    <s v="WF-1"/>
    <s v="Chingford/ Walthamstow"/>
    <x v="2"/>
  </r>
  <r>
    <s v="WF_LTC_SNS"/>
    <x v="11"/>
    <d v="2021-08-02T00:00:00"/>
    <s v="F86030"/>
    <n v="6255"/>
    <n v="554"/>
    <n v="538"/>
    <n v="473"/>
    <n v="445"/>
    <n v="111"/>
    <n v="38"/>
    <n v="11"/>
    <n v="6"/>
    <n v="9"/>
    <n v="337"/>
    <n v="276"/>
    <n v="258"/>
    <n v="271"/>
    <n v="710"/>
    <n v="361"/>
    <n v="349"/>
    <n v="84"/>
    <n v="201"/>
    <n v="128"/>
    <n v="335"/>
    <n v="165"/>
    <n v="27"/>
    <s v="WF-7"/>
    <s v="Walthamstow West"/>
    <x v="9"/>
  </r>
  <r>
    <s v="WF_LTC_SNS"/>
    <x v="11"/>
    <d v="2021-08-02T00:00:00"/>
    <s v="F86036"/>
    <n v="12041"/>
    <n v="788"/>
    <n v="718"/>
    <n v="314"/>
    <n v="566"/>
    <n v="53"/>
    <n v="108"/>
    <n v="23"/>
    <n v="16"/>
    <n v="20"/>
    <n v="600"/>
    <n v="133"/>
    <n v="115"/>
    <n v="101"/>
    <n v="1442"/>
    <n v="402"/>
    <n v="1040"/>
    <n v="77"/>
    <n v="353"/>
    <n v="158"/>
    <n v="560"/>
    <n v="220"/>
    <n v="47"/>
    <s v="WF-4"/>
    <s v="Forest Integrated Health"/>
    <x v="10"/>
  </r>
  <r>
    <s v="WF_LTC_SNS"/>
    <x v="11"/>
    <d v="2021-08-02T00:00:00"/>
    <s v="F86038"/>
    <n v="8547"/>
    <n v="799"/>
    <n v="771"/>
    <n v="676"/>
    <n v="435"/>
    <n v="79"/>
    <n v="46"/>
    <n v="44"/>
    <n v="42"/>
    <n v="38"/>
    <n v="437"/>
    <n v="342"/>
    <n v="336"/>
    <n v="330"/>
    <n v="1105"/>
    <n v="588"/>
    <n v="517"/>
    <n v="149"/>
    <n v="345"/>
    <n v="189"/>
    <n v="445"/>
    <n v="185"/>
    <n v="72"/>
    <s v="WF-3"/>
    <s v="Leyton Collaborative"/>
    <x v="11"/>
  </r>
  <r>
    <s v="WF_LTC_SNS"/>
    <x v="11"/>
    <d v="2021-08-02T00:00:00"/>
    <s v="F86044"/>
    <n v="8116"/>
    <n v="389"/>
    <n v="355"/>
    <n v="215"/>
    <n v="219"/>
    <n v="15"/>
    <n v="32"/>
    <n v="11"/>
    <n v="8"/>
    <n v="9"/>
    <n v="316"/>
    <n v="195"/>
    <n v="192"/>
    <n v="180"/>
    <n v="751"/>
    <n v="279"/>
    <n v="472"/>
    <n v="104"/>
    <n v="143"/>
    <n v="82"/>
    <n v="251"/>
    <n v="135"/>
    <n v="25"/>
    <s v="WF-4"/>
    <s v="Forest Integrated Health"/>
    <x v="12"/>
  </r>
  <r>
    <s v="WF_LTC_SNS"/>
    <x v="11"/>
    <d v="2021-08-02T00:00:00"/>
    <s v="F86045"/>
    <n v="1673"/>
    <n v="131"/>
    <n v="128"/>
    <n v="105"/>
    <n v="106"/>
    <n v="9"/>
    <n v="19"/>
    <n v="15"/>
    <n v="9"/>
    <n v="6"/>
    <n v="86"/>
    <n v="59"/>
    <n v="59"/>
    <n v="59"/>
    <n v="265"/>
    <n v="105"/>
    <n v="160"/>
    <n v="27"/>
    <n v="72"/>
    <n v="32"/>
    <n v="77"/>
    <n v="21"/>
    <n v="10"/>
    <s v="WF-5"/>
    <s v="South Leytonstone"/>
    <x v="13"/>
  </r>
  <r>
    <s v="WF_LTC_SNS"/>
    <x v="11"/>
    <d v="2021-08-02T00:00:00"/>
    <s v="F86058"/>
    <n v="12727"/>
    <n v="784"/>
    <n v="727"/>
    <n v="402"/>
    <n v="570"/>
    <n v="84"/>
    <n v="108"/>
    <n v="5"/>
    <n v="2"/>
    <n v="3"/>
    <n v="571"/>
    <n v="95"/>
    <n v="42"/>
    <n v="36"/>
    <n v="1446"/>
    <n v="639"/>
    <n v="807"/>
    <n v="114"/>
    <n v="335"/>
    <n v="185"/>
    <n v="485"/>
    <n v="240"/>
    <n v="27"/>
    <s v="WF-7"/>
    <s v="Walthamstow West"/>
    <x v="14"/>
  </r>
  <r>
    <s v="WF_LTC_SNS"/>
    <x v="11"/>
    <d v="2021-08-02T00:00:00"/>
    <s v="F86062"/>
    <n v="5885"/>
    <n v="467"/>
    <n v="439"/>
    <n v="167"/>
    <n v="300"/>
    <n v="39"/>
    <n v="67"/>
    <n v="19"/>
    <n v="1"/>
    <n v="2"/>
    <n v="263"/>
    <n v="122"/>
    <n v="85"/>
    <n v="71"/>
    <n v="813"/>
    <n v="293"/>
    <n v="520"/>
    <n v="68"/>
    <n v="205"/>
    <n v="113"/>
    <n v="297"/>
    <n v="160"/>
    <n v="40"/>
    <s v="WF-7"/>
    <s v="Walthamstow West"/>
    <x v="15"/>
  </r>
  <r>
    <s v="WF_LTC_SNS"/>
    <x v="11"/>
    <d v="2021-08-02T00:00:00"/>
    <s v="F86074"/>
    <n v="11863"/>
    <n v="861"/>
    <n v="822"/>
    <n v="704"/>
    <n v="678"/>
    <n v="90"/>
    <n v="113"/>
    <n v="106"/>
    <n v="49"/>
    <n v="74"/>
    <n v="583"/>
    <n v="445"/>
    <n v="19"/>
    <n v="435"/>
    <n v="1490"/>
    <n v="689"/>
    <n v="801"/>
    <n v="511"/>
    <n v="576"/>
    <n v="219"/>
    <n v="495"/>
    <n v="224"/>
    <n v="3"/>
    <s v="WF-3"/>
    <s v="Leyton Collaborative"/>
    <x v="3"/>
  </r>
  <r>
    <s v="WF_LTC_SNS"/>
    <x v="11"/>
    <d v="2021-08-02T00:00:00"/>
    <s v="F86078"/>
    <n v="5757"/>
    <n v="348"/>
    <n v="320"/>
    <n v="132"/>
    <n v="154"/>
    <n v="5"/>
    <n v="74"/>
    <n v="40"/>
    <n v="8"/>
    <n v="27"/>
    <n v="323"/>
    <n v="126"/>
    <n v="123"/>
    <n v="119"/>
    <n v="1097"/>
    <n v="419"/>
    <n v="678"/>
    <n v="29"/>
    <n v="284"/>
    <n v="129"/>
    <n v="491"/>
    <n v="277"/>
    <n v="6"/>
    <s v="WF-2"/>
    <s v="Chingford E4"/>
    <x v="16"/>
  </r>
  <r>
    <s v="WF_LTC_SNS"/>
    <x v="11"/>
    <d v="2021-08-02T00:00:00"/>
    <s v="F86086"/>
    <n v="4516"/>
    <n v="298"/>
    <n v="285"/>
    <n v="120"/>
    <n v="140"/>
    <n v="3"/>
    <n v="33"/>
    <n v="14"/>
    <n v="5"/>
    <n v="11"/>
    <n v="205"/>
    <n v="48"/>
    <n v="48"/>
    <n v="46"/>
    <n v="481"/>
    <n v="127"/>
    <n v="354"/>
    <n v="20"/>
    <n v="127"/>
    <n v="71"/>
    <n v="175"/>
    <n v="88"/>
    <n v="4"/>
    <s v="WF-6"/>
    <s v="Central Walthamstow"/>
    <x v="17"/>
  </r>
  <r>
    <s v="WF_LTC_SNS"/>
    <x v="11"/>
    <d v="2021-08-02T00:00:00"/>
    <s v="F86088"/>
    <n v="4054"/>
    <n v="362"/>
    <n v="345"/>
    <n v="52"/>
    <n v="152"/>
    <n v="12"/>
    <n v="36"/>
    <n v="11"/>
    <n v="0"/>
    <n v="0"/>
    <n v="205"/>
    <n v="112"/>
    <n v="98"/>
    <n v="93"/>
    <n v="660"/>
    <n v="199"/>
    <n v="461"/>
    <n v="29"/>
    <n v="129"/>
    <n v="59"/>
    <n v="215"/>
    <n v="126"/>
    <n v="23"/>
    <s v="WF-4"/>
    <s v="Forest Integrated Health"/>
    <x v="18"/>
  </r>
  <r>
    <s v="WF_LTC_SNS"/>
    <x v="11"/>
    <d v="2021-08-02T00:00:00"/>
    <s v="F86607"/>
    <n v="11427"/>
    <n v="659"/>
    <n v="622"/>
    <n v="461"/>
    <n v="312"/>
    <n v="38"/>
    <n v="89"/>
    <n v="61"/>
    <n v="38"/>
    <n v="43"/>
    <n v="647"/>
    <n v="423"/>
    <n v="390"/>
    <n v="383"/>
    <n v="1251"/>
    <n v="653"/>
    <n v="598"/>
    <n v="158"/>
    <n v="306"/>
    <n v="149"/>
    <n v="440"/>
    <n v="194"/>
    <n v="8"/>
    <s v="WF-6"/>
    <s v="Central Walthamstow"/>
    <x v="19"/>
  </r>
  <r>
    <s v="WF_LTC_SNS"/>
    <x v="11"/>
    <d v="2021-08-02T00:00:00"/>
    <s v="F86616"/>
    <n v="5885"/>
    <n v="343"/>
    <n v="315"/>
    <n v="272"/>
    <n v="99"/>
    <n v="22"/>
    <n v="65"/>
    <n v="47"/>
    <n v="39"/>
    <n v="4"/>
    <n v="372"/>
    <n v="269"/>
    <n v="255"/>
    <n v="235"/>
    <n v="813"/>
    <n v="571"/>
    <n v="242"/>
    <n v="69"/>
    <n v="238"/>
    <n v="109"/>
    <n v="373"/>
    <n v="184"/>
    <n v="8"/>
    <s v="WF-2"/>
    <s v="Chingford E4"/>
    <x v="20"/>
  </r>
  <r>
    <s v="WF_LTC_SNS"/>
    <x v="11"/>
    <d v="2021-08-02T00:00:00"/>
    <s v="F86621"/>
    <n v="5257"/>
    <n v="308"/>
    <n v="292"/>
    <n v="216"/>
    <n v="239"/>
    <n v="73"/>
    <n v="29"/>
    <n v="23"/>
    <n v="19"/>
    <n v="22"/>
    <n v="264"/>
    <n v="187"/>
    <n v="185"/>
    <n v="179"/>
    <n v="599"/>
    <n v="278"/>
    <n v="321"/>
    <n v="38"/>
    <n v="150"/>
    <n v="61"/>
    <n v="271"/>
    <n v="125"/>
    <n v="11"/>
    <s v="WF-5"/>
    <s v="South Leytonstone"/>
    <x v="21"/>
  </r>
  <r>
    <s v="WF_LTC_SNS"/>
    <x v="11"/>
    <d v="2021-08-02T00:00:00"/>
    <s v="F86625"/>
    <n v="4669"/>
    <n v="424"/>
    <n v="404"/>
    <n v="278"/>
    <n v="301"/>
    <n v="43"/>
    <n v="57"/>
    <n v="35"/>
    <n v="30"/>
    <n v="28"/>
    <n v="249"/>
    <n v="147"/>
    <n v="146"/>
    <n v="141"/>
    <n v="693"/>
    <n v="325"/>
    <n v="368"/>
    <n v="147"/>
    <n v="203"/>
    <n v="88"/>
    <n v="288"/>
    <n v="153"/>
    <n v="1"/>
    <s v="WF-5"/>
    <s v="South Leytonstone"/>
    <x v="22"/>
  </r>
  <r>
    <s v="WF_LTC_SNS"/>
    <x v="11"/>
    <d v="2021-08-02T00:00:00"/>
    <s v="F86626"/>
    <n v="5236"/>
    <n v="291"/>
    <n v="277"/>
    <n v="169"/>
    <n v="198"/>
    <n v="27"/>
    <n v="24"/>
    <n v="18"/>
    <n v="6"/>
    <n v="5"/>
    <n v="183"/>
    <n v="105"/>
    <n v="93"/>
    <n v="89"/>
    <n v="534"/>
    <n v="307"/>
    <n v="227"/>
    <n v="59"/>
    <n v="112"/>
    <n v="46"/>
    <n v="172"/>
    <n v="94"/>
    <n v="14"/>
    <s v="WF-1"/>
    <s v="Chingford/ Walthamstow"/>
    <x v="23"/>
  </r>
  <r>
    <s v="WF_LTC_SNS"/>
    <x v="11"/>
    <d v="2021-08-02T00:00:00"/>
    <s v="F86627"/>
    <n v="10674"/>
    <n v="810"/>
    <n v="763"/>
    <n v="385"/>
    <n v="250"/>
    <n v="17"/>
    <n v="229"/>
    <n v="178"/>
    <n v="70"/>
    <n v="152"/>
    <n v="710"/>
    <n v="360"/>
    <n v="343"/>
    <n v="343"/>
    <n v="1834"/>
    <n v="849"/>
    <n v="985"/>
    <n v="212"/>
    <n v="596"/>
    <n v="258"/>
    <n v="825"/>
    <n v="392"/>
    <n v="72"/>
    <s v="WF-2"/>
    <s v="Chingford E4"/>
    <x v="24"/>
  </r>
  <r>
    <s v="WF_LTC_SNS"/>
    <x v="11"/>
    <d v="2021-08-02T00:00:00"/>
    <s v="F86638"/>
    <n v="4099"/>
    <n v="374"/>
    <n v="361"/>
    <n v="282"/>
    <n v="265"/>
    <n v="44"/>
    <n v="63"/>
    <n v="55"/>
    <n v="11"/>
    <n v="2"/>
    <n v="211"/>
    <n v="151"/>
    <n v="5"/>
    <n v="140"/>
    <n v="784"/>
    <n v="259"/>
    <n v="525"/>
    <n v="370"/>
    <n v="198"/>
    <n v="92"/>
    <n v="263"/>
    <n v="103"/>
    <n v="33"/>
    <s v="WF-1"/>
    <s v="Chingford/ Walthamstow"/>
    <x v="4"/>
  </r>
  <r>
    <s v="WF_LTC_SNS"/>
    <x v="11"/>
    <d v="2021-08-02T00:00:00"/>
    <s v="F86644"/>
    <n v="7454"/>
    <n v="523"/>
    <n v="501"/>
    <n v="199"/>
    <n v="334"/>
    <n v="26"/>
    <n v="95"/>
    <n v="61"/>
    <n v="49"/>
    <n v="57"/>
    <n v="361"/>
    <n v="174"/>
    <n v="149"/>
    <n v="141"/>
    <n v="1118"/>
    <n v="446"/>
    <n v="672"/>
    <n v="93"/>
    <n v="258"/>
    <n v="116"/>
    <n v="397"/>
    <n v="179"/>
    <n v="14"/>
    <s v="WF-6"/>
    <s v="Central Walthamstow"/>
    <x v="25"/>
  </r>
  <r>
    <s v="WF_LTC_SNS"/>
    <x v="11"/>
    <d v="2021-08-02T00:00:00"/>
    <s v="F86650"/>
    <n v="6360"/>
    <n v="500"/>
    <n v="469"/>
    <n v="263"/>
    <n v="392"/>
    <n v="49"/>
    <n v="60"/>
    <n v="44"/>
    <n v="39"/>
    <n v="42"/>
    <n v="342"/>
    <n v="258"/>
    <n v="257"/>
    <n v="248"/>
    <n v="696"/>
    <n v="295"/>
    <n v="401"/>
    <n v="79"/>
    <n v="192"/>
    <n v="91"/>
    <n v="322"/>
    <n v="149"/>
    <n v="27"/>
    <s v="WF-4"/>
    <s v="Forest Integrated Health"/>
    <x v="26"/>
  </r>
  <r>
    <s v="WF_LTC_SNS"/>
    <x v="11"/>
    <d v="2021-08-02T00:00:00"/>
    <s v="F86664"/>
    <n v="6506"/>
    <n v="415"/>
    <n v="378"/>
    <n v="195"/>
    <n v="275"/>
    <n v="25"/>
    <n v="101"/>
    <n v="75"/>
    <n v="47"/>
    <n v="55"/>
    <n v="331"/>
    <n v="252"/>
    <n v="243"/>
    <n v="237"/>
    <n v="875"/>
    <n v="449"/>
    <n v="426"/>
    <n v="20"/>
    <n v="265"/>
    <n v="91"/>
    <n v="398"/>
    <n v="206"/>
    <n v="37"/>
    <s v="WF-1"/>
    <s v="Chingford/ Walthamstow"/>
    <x v="27"/>
  </r>
  <r>
    <s v="WF_LTC_SNS"/>
    <x v="11"/>
    <d v="2021-08-02T00:00:00"/>
    <s v="F86666"/>
    <n v="11723"/>
    <n v="864"/>
    <n v="826"/>
    <n v="567"/>
    <n v="468"/>
    <n v="63"/>
    <n v="119"/>
    <n v="97"/>
    <n v="83"/>
    <n v="89"/>
    <n v="561"/>
    <n v="415"/>
    <n v="395"/>
    <n v="378"/>
    <n v="1784"/>
    <n v="943"/>
    <n v="841"/>
    <n v="302"/>
    <n v="316"/>
    <n v="168"/>
    <n v="408"/>
    <n v="223"/>
    <n v="20"/>
    <s v="WF-5"/>
    <s v="South Leytonstone"/>
    <x v="28"/>
  </r>
  <r>
    <s v="WF_LTC_SNS"/>
    <x v="11"/>
    <d v="2021-08-02T00:00:00"/>
    <s v="F86679"/>
    <n v="4469"/>
    <n v="233"/>
    <n v="219"/>
    <n v="209"/>
    <n v="140"/>
    <n v="47"/>
    <n v="30"/>
    <n v="19"/>
    <n v="18"/>
    <n v="16"/>
    <n v="195"/>
    <n v="172"/>
    <n v="168"/>
    <n v="163"/>
    <n v="465"/>
    <n v="277"/>
    <n v="188"/>
    <n v="36"/>
    <n v="82"/>
    <n v="46"/>
    <n v="129"/>
    <n v="65"/>
    <n v="11"/>
    <s v="WF-7"/>
    <s v="Walthamstow West"/>
    <x v="29"/>
  </r>
  <r>
    <s v="WF_LTC_SNS"/>
    <x v="11"/>
    <d v="2021-08-02T00:00:00"/>
    <s v="F86689"/>
    <n v="3240"/>
    <n v="122"/>
    <n v="110"/>
    <n v="83"/>
    <n v="63"/>
    <n v="16"/>
    <n v="41"/>
    <n v="30"/>
    <n v="7"/>
    <n v="1"/>
    <n v="182"/>
    <n v="118"/>
    <n v="117"/>
    <n v="117"/>
    <n v="293"/>
    <n v="212"/>
    <n v="81"/>
    <n v="21"/>
    <n v="74"/>
    <n v="33"/>
    <n v="108"/>
    <n v="48"/>
    <n v="15"/>
    <s v="WF-1"/>
    <s v="Chingford/ Walthamstow"/>
    <x v="30"/>
  </r>
  <r>
    <s v="WF_LTC_SNS"/>
    <x v="11"/>
    <d v="2021-08-02T00:00:00"/>
    <s v="F86696"/>
    <n v="5486"/>
    <n v="363"/>
    <n v="348"/>
    <n v="279"/>
    <n v="85"/>
    <n v="4"/>
    <n v="24"/>
    <n v="15"/>
    <n v="14"/>
    <n v="15"/>
    <n v="227"/>
    <n v="211"/>
    <n v="209"/>
    <n v="207"/>
    <n v="612"/>
    <n v="353"/>
    <n v="259"/>
    <n v="119"/>
    <n v="137"/>
    <n v="83"/>
    <n v="206"/>
    <n v="108"/>
    <n v="17"/>
    <s v="WF-4"/>
    <s v="Forest Integrated Health"/>
    <x v="31"/>
  </r>
  <r>
    <s v="WF_LTC_SNS"/>
    <x v="11"/>
    <d v="2021-08-02T00:00:00"/>
    <s v="F86700"/>
    <n v="3046"/>
    <n v="220"/>
    <n v="203"/>
    <n v="131"/>
    <n v="67"/>
    <n v="8"/>
    <n v="112"/>
    <n v="85"/>
    <n v="58"/>
    <n v="11"/>
    <n v="216"/>
    <n v="133"/>
    <n v="131"/>
    <n v="128"/>
    <n v="754"/>
    <n v="529"/>
    <n v="225"/>
    <n v="44"/>
    <n v="216"/>
    <n v="77"/>
    <n v="259"/>
    <n v="154"/>
    <n v="32"/>
    <s v="WF-1"/>
    <s v="Chingford/ Walthamstow"/>
    <x v="32"/>
  </r>
  <r>
    <s v="WF_LTC_SNS"/>
    <x v="11"/>
    <d v="2021-08-02T00:00:00"/>
    <s v="F86701"/>
    <n v="2980"/>
    <n v="253"/>
    <n v="241"/>
    <n v="173"/>
    <n v="173"/>
    <n v="26"/>
    <n v="23"/>
    <n v="20"/>
    <n v="16"/>
    <n v="17"/>
    <n v="131"/>
    <n v="88"/>
    <n v="87"/>
    <n v="84"/>
    <n v="452"/>
    <n v="263"/>
    <n v="189"/>
    <n v="58"/>
    <n v="87"/>
    <n v="44"/>
    <n v="122"/>
    <n v="80"/>
    <n v="7"/>
    <s v="WF-5"/>
    <s v="South Leytonstone"/>
    <x v="33"/>
  </r>
  <r>
    <s v="WF_LTC_SNS"/>
    <x v="11"/>
    <d v="2021-08-02T00:00:00"/>
    <s v="F86705"/>
    <n v="2923"/>
    <n v="216"/>
    <n v="208"/>
    <n v="162"/>
    <n v="137"/>
    <n v="19"/>
    <n v="27"/>
    <n v="18"/>
    <n v="7"/>
    <n v="4"/>
    <n v="99"/>
    <n v="81"/>
    <n v="81"/>
    <n v="77"/>
    <n v="340"/>
    <n v="170"/>
    <n v="170"/>
    <n v="46"/>
    <n v="86"/>
    <n v="42"/>
    <n v="123"/>
    <n v="44"/>
    <n v="6"/>
    <s v="WF-5"/>
    <s v="South Leytonstone"/>
    <x v="34"/>
  </r>
  <r>
    <s v="WF_LTC_SNS"/>
    <x v="11"/>
    <d v="2021-08-02T00:00:00"/>
    <s v="F86708"/>
    <n v="2178"/>
    <n v="205"/>
    <n v="196"/>
    <n v="139"/>
    <n v="67"/>
    <n v="6"/>
    <n v="16"/>
    <n v="8"/>
    <n v="7"/>
    <n v="8"/>
    <n v="149"/>
    <n v="88"/>
    <n v="82"/>
    <n v="60"/>
    <n v="368"/>
    <n v="151"/>
    <n v="217"/>
    <n v="40"/>
    <n v="86"/>
    <n v="41"/>
    <n v="127"/>
    <n v="52"/>
    <n v="17"/>
    <s v="WF-6"/>
    <s v="Central Walthamstow"/>
    <x v="35"/>
  </r>
  <r>
    <s v="WF_LTC_SNS"/>
    <x v="11"/>
    <d v="2021-08-02T00:00:00"/>
    <s v="F86712"/>
    <n v="2736"/>
    <n v="204"/>
    <n v="192"/>
    <n v="59"/>
    <n v="162"/>
    <n v="23"/>
    <n v="13"/>
    <n v="9"/>
    <n v="7"/>
    <n v="9"/>
    <n v="98"/>
    <n v="73"/>
    <n v="68"/>
    <n v="69"/>
    <n v="338"/>
    <n v="157"/>
    <n v="181"/>
    <n v="62"/>
    <n v="64"/>
    <n v="29"/>
    <n v="137"/>
    <n v="63"/>
    <n v="7"/>
    <s v="WF-4"/>
    <s v="Forest Integrated Health"/>
    <x v="36"/>
  </r>
  <r>
    <s v="WF_LTC_SNS"/>
    <x v="11"/>
    <d v="2021-08-02T00:00:00"/>
    <s v="Y01291"/>
    <n v="7005"/>
    <n v="477"/>
    <n v="449"/>
    <n v="338"/>
    <n v="180"/>
    <n v="23"/>
    <n v="112"/>
    <n v="66"/>
    <n v="26"/>
    <n v="37"/>
    <n v="456"/>
    <n v="289"/>
    <n v="261"/>
    <n v="208"/>
    <n v="1231"/>
    <n v="621"/>
    <n v="610"/>
    <n v="123"/>
    <n v="309"/>
    <n v="150"/>
    <n v="500"/>
    <n v="213"/>
    <n v="11"/>
    <s v="WF-2"/>
    <s v="Chingford E4"/>
    <x v="37"/>
  </r>
  <r>
    <s v="WF_LTC_SNS"/>
    <x v="11"/>
    <d v="2021-08-02T00:00:00"/>
    <s v="Y01839"/>
    <n v="4932"/>
    <n v="410"/>
    <n v="385"/>
    <n v="142"/>
    <n v="272"/>
    <n v="23"/>
    <n v="80"/>
    <n v="28"/>
    <n v="11"/>
    <n v="9"/>
    <n v="315"/>
    <n v="106"/>
    <n v="106"/>
    <n v="105"/>
    <n v="713"/>
    <n v="279"/>
    <n v="434"/>
    <n v="50"/>
    <n v="166"/>
    <n v="85"/>
    <n v="279"/>
    <n v="103"/>
    <n v="28"/>
    <s v="WF-1"/>
    <s v="Chingford/ Walthamstow"/>
    <x v="38"/>
  </r>
  <r>
    <s v="WF_LTC_SNS"/>
    <x v="12"/>
    <d v="2021-09-02T00:00:00"/>
    <s v="F86001"/>
    <n v="6171"/>
    <n v="532"/>
    <n v="500"/>
    <n v="309"/>
    <n v="321"/>
    <n v="41"/>
    <n v="82"/>
    <n v="55"/>
    <n v="37"/>
    <n v="39"/>
    <n v="318"/>
    <n v="176"/>
    <n v="166"/>
    <n v="171"/>
    <n v="890"/>
    <n v="371"/>
    <n v="519"/>
    <n v="89"/>
    <n v="230"/>
    <n v="104"/>
    <n v="325"/>
    <n v="134"/>
    <n v="14"/>
    <s v="WF-6"/>
    <s v="Central Walthamstow"/>
    <x v="5"/>
  </r>
  <r>
    <s v="WF_LTC_SNS"/>
    <x v="12"/>
    <d v="2021-09-02T00:00:00"/>
    <s v="F86004"/>
    <n v="12492"/>
    <n v="676"/>
    <n v="632"/>
    <n v="333"/>
    <n v="376"/>
    <n v="35"/>
    <n v="159"/>
    <n v="132"/>
    <n v="78"/>
    <n v="67"/>
    <n v="751"/>
    <n v="472"/>
    <n v="458"/>
    <n v="457"/>
    <n v="1956"/>
    <n v="465"/>
    <n v="1491"/>
    <n v="770"/>
    <n v="546"/>
    <n v="277"/>
    <n v="794"/>
    <n v="409"/>
    <m/>
    <s v="WF-2"/>
    <s v="Chingford E4"/>
    <x v="0"/>
  </r>
  <r>
    <s v="WF_LTC_SNS"/>
    <x v="12"/>
    <d v="2021-09-02T00:00:00"/>
    <s v="F86005"/>
    <n v="7201"/>
    <n v="354"/>
    <n v="325"/>
    <n v="215"/>
    <n v="230"/>
    <n v="39"/>
    <n v="106"/>
    <n v="88"/>
    <n v="16"/>
    <n v="63"/>
    <n v="353"/>
    <n v="175"/>
    <n v="166"/>
    <n v="172"/>
    <n v="800"/>
    <n v="463"/>
    <n v="337"/>
    <n v="102"/>
    <n v="154"/>
    <n v="78"/>
    <n v="265"/>
    <n v="138"/>
    <n v="23"/>
    <s v="WF-1"/>
    <s v="Chingford/ Walthamstow"/>
    <x v="6"/>
  </r>
  <r>
    <s v="WF_LTC_SNS"/>
    <x v="12"/>
    <d v="2021-09-02T00:00:00"/>
    <s v="F86006"/>
    <n v="5234"/>
    <n v="422"/>
    <n v="402"/>
    <n v="302"/>
    <n v="274"/>
    <n v="35"/>
    <n v="58"/>
    <n v="36"/>
    <n v="25"/>
    <n v="28"/>
    <n v="243"/>
    <n v="156"/>
    <n v="152"/>
    <n v="152"/>
    <n v="798"/>
    <n v="347"/>
    <n v="451"/>
    <n v="130"/>
    <n v="169"/>
    <n v="99"/>
    <n v="291"/>
    <n v="134"/>
    <n v="20"/>
    <s v="WF-7"/>
    <s v="Walthamstow West"/>
    <x v="7"/>
  </r>
  <r>
    <s v="WF_LTC_SNS"/>
    <x v="12"/>
    <d v="2021-09-02T00:00:00"/>
    <s v="F86011"/>
    <n v="7728"/>
    <n v="737"/>
    <n v="698"/>
    <n v="609"/>
    <n v="304"/>
    <n v="55"/>
    <n v="91"/>
    <n v="86"/>
    <n v="82"/>
    <n v="77"/>
    <n v="342"/>
    <n v="306"/>
    <n v="300"/>
    <n v="300"/>
    <n v="1139"/>
    <n v="603"/>
    <n v="536"/>
    <n v="157"/>
    <n v="355"/>
    <n v="211"/>
    <n v="511"/>
    <n v="229"/>
    <n v="65"/>
    <s v="WF-3"/>
    <s v="Leyton Collaborative"/>
    <x v="8"/>
  </r>
  <r>
    <s v="WF_LTC_SNS"/>
    <x v="12"/>
    <d v="2021-09-02T00:00:00"/>
    <s v="F86018"/>
    <n v="7775"/>
    <n v="668"/>
    <n v="620"/>
    <n v="172"/>
    <n v="428"/>
    <n v="27"/>
    <n v="107"/>
    <n v="89"/>
    <n v="4"/>
    <n v="3"/>
    <n v="397"/>
    <n v="306"/>
    <n v="303"/>
    <n v="295"/>
    <n v="1302"/>
    <n v="398"/>
    <n v="904"/>
    <n v="534"/>
    <n v="344"/>
    <n v="128"/>
    <n v="455"/>
    <n v="217"/>
    <n v="49"/>
    <s v="WF-4"/>
    <s v="Forest Integrated Health"/>
    <x v="1"/>
  </r>
  <r>
    <s v="WF_LTC_SNS"/>
    <x v="12"/>
    <d v="2021-09-02T00:00:00"/>
    <s v="F86026"/>
    <n v="5594"/>
    <n v="417"/>
    <n v="389"/>
    <n v="196"/>
    <n v="312"/>
    <n v="33"/>
    <n v="75"/>
    <n v="72"/>
    <m/>
    <m/>
    <n v="357"/>
    <n v="350"/>
    <n v="304"/>
    <n v="302"/>
    <n v="715"/>
    <n v="390"/>
    <n v="325"/>
    <n v="173"/>
    <n v="220"/>
    <n v="108"/>
    <n v="336"/>
    <n v="137"/>
    <n v="26"/>
    <s v="WF-1"/>
    <s v="Chingford/ Walthamstow"/>
    <x v="2"/>
  </r>
  <r>
    <s v="WF_LTC_SNS"/>
    <x v="12"/>
    <d v="2021-09-02T00:00:00"/>
    <s v="F86030"/>
    <n v="6252"/>
    <n v="557"/>
    <n v="540"/>
    <n v="473"/>
    <n v="448"/>
    <n v="119"/>
    <n v="38"/>
    <n v="13"/>
    <n v="7"/>
    <n v="11"/>
    <n v="343"/>
    <n v="290"/>
    <n v="278"/>
    <n v="285"/>
    <n v="714"/>
    <n v="464"/>
    <n v="250"/>
    <n v="71"/>
    <n v="202"/>
    <n v="130"/>
    <n v="336"/>
    <n v="163"/>
    <n v="28"/>
    <s v="WF-7"/>
    <s v="Walthamstow West"/>
    <x v="9"/>
  </r>
  <r>
    <s v="WF_LTC_SNS"/>
    <x v="12"/>
    <d v="2021-09-02T00:00:00"/>
    <s v="F86036"/>
    <n v="11974"/>
    <n v="788"/>
    <n v="719"/>
    <n v="349"/>
    <n v="549"/>
    <n v="51"/>
    <n v="106"/>
    <n v="55"/>
    <n v="50"/>
    <n v="52"/>
    <n v="594"/>
    <n v="142"/>
    <n v="121"/>
    <n v="112"/>
    <n v="1439"/>
    <n v="441"/>
    <n v="998"/>
    <n v="73"/>
    <n v="350"/>
    <n v="160"/>
    <n v="559"/>
    <n v="223"/>
    <n v="50"/>
    <s v="WF-4"/>
    <s v="Forest Integrated Health"/>
    <x v="10"/>
  </r>
  <r>
    <s v="WF_LTC_SNS"/>
    <x v="12"/>
    <d v="2021-09-02T00:00:00"/>
    <s v="F86038"/>
    <n v="8494"/>
    <n v="804"/>
    <n v="776"/>
    <n v="692"/>
    <n v="442"/>
    <n v="90"/>
    <n v="46"/>
    <n v="44"/>
    <n v="44"/>
    <n v="43"/>
    <n v="436"/>
    <n v="358"/>
    <n v="353"/>
    <n v="346"/>
    <n v="1098"/>
    <n v="585"/>
    <n v="513"/>
    <n v="166"/>
    <n v="348"/>
    <n v="193"/>
    <n v="449"/>
    <n v="190"/>
    <n v="78"/>
    <s v="WF-3"/>
    <s v="Leyton Collaborative"/>
    <x v="11"/>
  </r>
  <r>
    <s v="WF_LTC_SNS"/>
    <x v="12"/>
    <d v="2021-09-02T00:00:00"/>
    <s v="F86044"/>
    <n v="8221"/>
    <n v="394"/>
    <n v="361"/>
    <n v="244"/>
    <n v="210"/>
    <n v="14"/>
    <n v="33"/>
    <n v="18"/>
    <n v="15"/>
    <n v="16"/>
    <n v="318"/>
    <n v="211"/>
    <n v="207"/>
    <n v="202"/>
    <n v="756"/>
    <n v="286"/>
    <n v="470"/>
    <n v="113"/>
    <n v="145"/>
    <n v="83"/>
    <n v="255"/>
    <n v="135"/>
    <n v="24"/>
    <s v="WF-4"/>
    <s v="Forest Integrated Health"/>
    <x v="12"/>
  </r>
  <r>
    <s v="WF_LTC_SNS"/>
    <x v="12"/>
    <d v="2021-09-02T00:00:00"/>
    <s v="F86045"/>
    <n v="1674"/>
    <n v="133"/>
    <n v="129"/>
    <n v="97"/>
    <n v="107"/>
    <n v="7"/>
    <n v="19"/>
    <n v="14"/>
    <n v="11"/>
    <n v="8"/>
    <n v="86"/>
    <n v="63"/>
    <n v="63"/>
    <n v="63"/>
    <n v="267"/>
    <n v="100"/>
    <n v="167"/>
    <n v="34"/>
    <n v="71"/>
    <n v="32"/>
    <n v="78"/>
    <n v="22"/>
    <n v="10"/>
    <s v="WF-5"/>
    <s v="South Leytonstone"/>
    <x v="13"/>
  </r>
  <r>
    <s v="WF_LTC_SNS"/>
    <x v="12"/>
    <d v="2021-09-02T00:00:00"/>
    <s v="F86058"/>
    <n v="12801"/>
    <n v="785"/>
    <n v="727"/>
    <n v="430"/>
    <n v="564"/>
    <n v="76"/>
    <n v="108"/>
    <n v="7"/>
    <n v="2"/>
    <n v="5"/>
    <n v="578"/>
    <n v="102"/>
    <n v="62"/>
    <n v="64"/>
    <n v="1451"/>
    <n v="694"/>
    <n v="757"/>
    <n v="127"/>
    <n v="335"/>
    <n v="185"/>
    <n v="487"/>
    <n v="242"/>
    <n v="31"/>
    <s v="WF-7"/>
    <s v="Walthamstow West"/>
    <x v="14"/>
  </r>
  <r>
    <s v="WF_LTC_SNS"/>
    <x v="12"/>
    <d v="2021-09-02T00:00:00"/>
    <s v="F86062"/>
    <n v="5861"/>
    <n v="469"/>
    <n v="440"/>
    <n v="175"/>
    <n v="302"/>
    <n v="35"/>
    <n v="65"/>
    <n v="21"/>
    <n v="2"/>
    <n v="4"/>
    <n v="265"/>
    <n v="124"/>
    <n v="90"/>
    <n v="78"/>
    <n v="813"/>
    <n v="296"/>
    <n v="517"/>
    <n v="75"/>
    <n v="202"/>
    <n v="113"/>
    <n v="300"/>
    <n v="161"/>
    <n v="39"/>
    <s v="WF-7"/>
    <s v="Walthamstow West"/>
    <x v="15"/>
  </r>
  <r>
    <s v="WF_LTC_SNS"/>
    <x v="12"/>
    <d v="2021-09-02T00:00:00"/>
    <s v="F86074"/>
    <n v="11896"/>
    <n v="869"/>
    <n v="829"/>
    <n v="710"/>
    <n v="699"/>
    <n v="90"/>
    <n v="113"/>
    <n v="106"/>
    <n v="49"/>
    <n v="74"/>
    <n v="579"/>
    <n v="447"/>
    <n v="428"/>
    <n v="435"/>
    <n v="1488"/>
    <n v="692"/>
    <n v="796"/>
    <n v="497"/>
    <n v="575"/>
    <n v="221"/>
    <n v="501"/>
    <n v="228"/>
    <n v="3"/>
    <s v="WF-3"/>
    <s v="Leyton Collaborative"/>
    <x v="3"/>
  </r>
  <r>
    <s v="WF_LTC_SNS"/>
    <x v="12"/>
    <d v="2021-09-02T00:00:00"/>
    <s v="F86078"/>
    <n v="5763"/>
    <n v="349"/>
    <n v="321"/>
    <n v="133"/>
    <n v="144"/>
    <n v="5"/>
    <n v="73"/>
    <n v="45"/>
    <n v="8"/>
    <n v="32"/>
    <n v="324"/>
    <n v="136"/>
    <n v="132"/>
    <n v="127"/>
    <n v="1098"/>
    <n v="421"/>
    <n v="677"/>
    <n v="33"/>
    <n v="281"/>
    <n v="130"/>
    <n v="485"/>
    <n v="273"/>
    <n v="6"/>
    <s v="WF-2"/>
    <s v="Chingford E4"/>
    <x v="16"/>
  </r>
  <r>
    <s v="WF_LTC_SNS"/>
    <x v="12"/>
    <d v="2021-09-02T00:00:00"/>
    <s v="F86086"/>
    <n v="4516"/>
    <n v="297"/>
    <n v="284"/>
    <n v="151"/>
    <n v="125"/>
    <n v="2"/>
    <n v="33"/>
    <n v="18"/>
    <n v="5"/>
    <n v="14"/>
    <n v="203"/>
    <n v="65"/>
    <n v="63"/>
    <n v="62"/>
    <n v="480"/>
    <n v="163"/>
    <n v="317"/>
    <n v="23"/>
    <n v="128"/>
    <n v="71"/>
    <n v="173"/>
    <n v="89"/>
    <n v="6"/>
    <s v="WF-6"/>
    <s v="Central Walthamstow"/>
    <x v="17"/>
  </r>
  <r>
    <s v="WF_LTC_SNS"/>
    <x v="12"/>
    <d v="2021-09-02T00:00:00"/>
    <s v="F86088"/>
    <n v="4068"/>
    <n v="365"/>
    <n v="346"/>
    <n v="65"/>
    <n v="153"/>
    <n v="12"/>
    <n v="36"/>
    <n v="11"/>
    <n v="0"/>
    <n v="0"/>
    <n v="206"/>
    <n v="117"/>
    <n v="109"/>
    <n v="106"/>
    <n v="665"/>
    <n v="206"/>
    <n v="459"/>
    <n v="30"/>
    <n v="130"/>
    <n v="60"/>
    <n v="212"/>
    <n v="122"/>
    <n v="21"/>
    <s v="WF-4"/>
    <s v="Forest Integrated Health"/>
    <x v="18"/>
  </r>
  <r>
    <s v="WF_LTC_SNS"/>
    <x v="12"/>
    <d v="2021-09-02T00:00:00"/>
    <s v="F86607"/>
    <n v="11496"/>
    <n v="656"/>
    <n v="621"/>
    <n v="454"/>
    <n v="293"/>
    <n v="33"/>
    <n v="89"/>
    <n v="51"/>
    <n v="29"/>
    <n v="33"/>
    <n v="654"/>
    <n v="432"/>
    <n v="406"/>
    <n v="410"/>
    <n v="1259"/>
    <n v="679"/>
    <n v="580"/>
    <n v="169"/>
    <n v="306"/>
    <n v="149"/>
    <n v="440"/>
    <n v="197"/>
    <n v="8"/>
    <s v="WF-6"/>
    <s v="Central Walthamstow"/>
    <x v="19"/>
  </r>
  <r>
    <s v="WF_LTC_SNS"/>
    <x v="12"/>
    <d v="2021-09-02T00:00:00"/>
    <s v="F86616"/>
    <n v="5907"/>
    <n v="350"/>
    <n v="322"/>
    <n v="278"/>
    <n v="105"/>
    <n v="22"/>
    <n v="64"/>
    <n v="47"/>
    <n v="41"/>
    <n v="4"/>
    <n v="373"/>
    <n v="290"/>
    <n v="277"/>
    <n v="261"/>
    <n v="813"/>
    <n v="585"/>
    <n v="228"/>
    <n v="63"/>
    <n v="236"/>
    <n v="106"/>
    <n v="372"/>
    <n v="184"/>
    <n v="10"/>
    <s v="WF-2"/>
    <s v="Chingford E4"/>
    <x v="20"/>
  </r>
  <r>
    <s v="WF_LTC_SNS"/>
    <x v="12"/>
    <d v="2021-09-02T00:00:00"/>
    <s v="F86621"/>
    <n v="5306"/>
    <n v="313"/>
    <n v="297"/>
    <n v="222"/>
    <n v="238"/>
    <n v="71"/>
    <n v="30"/>
    <n v="24"/>
    <n v="20"/>
    <n v="23"/>
    <n v="268"/>
    <n v="187"/>
    <n v="185"/>
    <n v="182"/>
    <n v="602"/>
    <n v="270"/>
    <n v="332"/>
    <n v="50"/>
    <n v="154"/>
    <n v="63"/>
    <n v="277"/>
    <n v="122"/>
    <n v="12"/>
    <s v="WF-5"/>
    <s v="South Leytonstone"/>
    <x v="21"/>
  </r>
  <r>
    <s v="WF_LTC_SNS"/>
    <x v="12"/>
    <d v="2021-09-02T00:00:00"/>
    <s v="F86625"/>
    <n v="4653"/>
    <n v="423"/>
    <n v="403"/>
    <n v="271"/>
    <n v="299"/>
    <n v="44"/>
    <n v="57"/>
    <n v="31"/>
    <n v="26"/>
    <n v="26"/>
    <n v="243"/>
    <n v="138"/>
    <n v="137"/>
    <n v="132"/>
    <n v="689"/>
    <n v="308"/>
    <n v="381"/>
    <n v="144"/>
    <n v="202"/>
    <n v="86"/>
    <n v="287"/>
    <n v="151"/>
    <n v="1"/>
    <s v="WF-5"/>
    <s v="South Leytonstone"/>
    <x v="22"/>
  </r>
  <r>
    <s v="WF_LTC_SNS"/>
    <x v="12"/>
    <d v="2021-09-02T00:00:00"/>
    <s v="F86626"/>
    <n v="5291"/>
    <n v="294"/>
    <n v="279"/>
    <n v="149"/>
    <n v="201"/>
    <n v="23"/>
    <n v="24"/>
    <n v="18"/>
    <n v="6"/>
    <n v="5"/>
    <n v="185"/>
    <n v="104"/>
    <n v="91"/>
    <n v="86"/>
    <n v="537"/>
    <n v="304"/>
    <n v="233"/>
    <n v="56"/>
    <n v="114"/>
    <n v="48"/>
    <n v="169"/>
    <n v="90"/>
    <n v="13"/>
    <s v="WF-1"/>
    <s v="Chingford/ Walthamstow"/>
    <x v="23"/>
  </r>
  <r>
    <s v="WF_LTC_SNS"/>
    <x v="12"/>
    <d v="2021-09-02T00:00:00"/>
    <s v="F86627"/>
    <n v="10654"/>
    <n v="818"/>
    <n v="771"/>
    <n v="389"/>
    <n v="251"/>
    <n v="17"/>
    <n v="229"/>
    <n v="175"/>
    <n v="62"/>
    <n v="147"/>
    <n v="712"/>
    <n v="377"/>
    <n v="360"/>
    <n v="363"/>
    <n v="1838"/>
    <n v="888"/>
    <n v="950"/>
    <n v="222"/>
    <n v="601"/>
    <n v="263"/>
    <n v="840"/>
    <n v="399"/>
    <n v="78"/>
    <s v="WF-2"/>
    <s v="Chingford E4"/>
    <x v="24"/>
  </r>
  <r>
    <s v="WF_LTC_SNS"/>
    <x v="12"/>
    <d v="2021-09-02T00:00:00"/>
    <s v="F86638"/>
    <n v="4096"/>
    <n v="374"/>
    <n v="362"/>
    <n v="271"/>
    <n v="265"/>
    <n v="47"/>
    <n v="62"/>
    <n v="53"/>
    <n v="10"/>
    <n v="2"/>
    <n v="210"/>
    <n v="144"/>
    <n v="139"/>
    <n v="135"/>
    <n v="778"/>
    <n v="254"/>
    <n v="524"/>
    <n v="362"/>
    <n v="194"/>
    <n v="92"/>
    <n v="257"/>
    <n v="99"/>
    <n v="32"/>
    <s v="WF-1"/>
    <s v="Chingford/ Walthamstow"/>
    <x v="4"/>
  </r>
  <r>
    <s v="WF_LTC_SNS"/>
    <x v="12"/>
    <d v="2021-09-02T00:00:00"/>
    <s v="F86644"/>
    <n v="7392"/>
    <n v="524"/>
    <n v="502"/>
    <n v="209"/>
    <n v="335"/>
    <n v="24"/>
    <n v="94"/>
    <n v="61"/>
    <n v="49"/>
    <n v="57"/>
    <n v="364"/>
    <n v="182"/>
    <n v="160"/>
    <n v="152"/>
    <n v="1113"/>
    <n v="456"/>
    <n v="657"/>
    <n v="93"/>
    <n v="260"/>
    <n v="119"/>
    <n v="401"/>
    <n v="176"/>
    <n v="12"/>
    <s v="WF-6"/>
    <s v="Central Walthamstow"/>
    <x v="25"/>
  </r>
  <r>
    <s v="WF_LTC_SNS"/>
    <x v="12"/>
    <d v="2021-09-02T00:00:00"/>
    <s v="F86650"/>
    <n v="6358"/>
    <n v="503"/>
    <n v="472"/>
    <n v="276"/>
    <n v="386"/>
    <n v="41"/>
    <n v="58"/>
    <n v="42"/>
    <n v="37"/>
    <n v="39"/>
    <n v="341"/>
    <n v="226"/>
    <n v="224"/>
    <n v="217"/>
    <n v="696"/>
    <n v="320"/>
    <n v="376"/>
    <n v="82"/>
    <n v="190"/>
    <n v="90"/>
    <n v="321"/>
    <n v="150"/>
    <n v="26"/>
    <s v="WF-4"/>
    <s v="Forest Integrated Health"/>
    <x v="26"/>
  </r>
  <r>
    <s v="WF_LTC_SNS"/>
    <x v="12"/>
    <d v="2021-09-02T00:00:00"/>
    <s v="F86664"/>
    <n v="6503"/>
    <n v="416"/>
    <n v="377"/>
    <n v="205"/>
    <n v="278"/>
    <n v="26"/>
    <n v="100"/>
    <n v="75"/>
    <n v="44"/>
    <n v="59"/>
    <n v="325"/>
    <n v="246"/>
    <n v="234"/>
    <n v="228"/>
    <n v="870"/>
    <n v="457"/>
    <n v="413"/>
    <n v="21"/>
    <n v="265"/>
    <n v="90"/>
    <n v="398"/>
    <n v="210"/>
    <n v="39"/>
    <s v="WF-1"/>
    <s v="Chingford/ Walthamstow"/>
    <x v="27"/>
  </r>
  <r>
    <s v="WF_LTC_SNS"/>
    <x v="12"/>
    <d v="2021-09-02T00:00:00"/>
    <s v="F86666"/>
    <n v="11693"/>
    <n v="863"/>
    <n v="825"/>
    <n v="561"/>
    <n v="442"/>
    <n v="60"/>
    <n v="120"/>
    <n v="94"/>
    <n v="82"/>
    <n v="88"/>
    <n v="564"/>
    <n v="411"/>
    <n v="397"/>
    <n v="388"/>
    <n v="1779"/>
    <n v="959"/>
    <n v="820"/>
    <n v="314"/>
    <n v="310"/>
    <n v="167"/>
    <n v="404"/>
    <n v="218"/>
    <n v="26"/>
    <s v="WF-5"/>
    <s v="South Leytonstone"/>
    <x v="28"/>
  </r>
  <r>
    <s v="WF_LTC_SNS"/>
    <x v="12"/>
    <d v="2021-09-02T00:00:00"/>
    <s v="F86679"/>
    <n v="4484"/>
    <n v="234"/>
    <n v="220"/>
    <n v="209"/>
    <n v="139"/>
    <n v="45"/>
    <n v="30"/>
    <n v="21"/>
    <n v="21"/>
    <n v="20"/>
    <n v="198"/>
    <n v="172"/>
    <n v="169"/>
    <n v="164"/>
    <n v="457"/>
    <n v="274"/>
    <n v="183"/>
    <n v="33"/>
    <n v="80"/>
    <n v="45"/>
    <n v="131"/>
    <n v="70"/>
    <n v="12"/>
    <s v="WF-7"/>
    <s v="Walthamstow West"/>
    <x v="29"/>
  </r>
  <r>
    <s v="WF_LTC_SNS"/>
    <x v="12"/>
    <d v="2021-09-02T00:00:00"/>
    <s v="F86689"/>
    <n v="3235"/>
    <n v="124"/>
    <n v="110"/>
    <n v="78"/>
    <n v="65"/>
    <n v="14"/>
    <n v="44"/>
    <n v="31"/>
    <n v="7"/>
    <n v="2"/>
    <n v="182"/>
    <n v="123"/>
    <n v="122"/>
    <n v="122"/>
    <n v="293"/>
    <n v="207"/>
    <n v="86"/>
    <n v="25"/>
    <n v="75"/>
    <n v="34"/>
    <n v="112"/>
    <n v="53"/>
    <n v="16"/>
    <s v="WF-1"/>
    <s v="Chingford/ Walthamstow"/>
    <x v="30"/>
  </r>
  <r>
    <s v="WF_LTC_SNS"/>
    <x v="12"/>
    <d v="2021-09-02T00:00:00"/>
    <s v="F86696"/>
    <n v="5555"/>
    <n v="359"/>
    <n v="345"/>
    <n v="275"/>
    <n v="92"/>
    <n v="3"/>
    <n v="24"/>
    <n v="15"/>
    <n v="14"/>
    <n v="15"/>
    <n v="228"/>
    <n v="214"/>
    <n v="212"/>
    <n v="210"/>
    <n v="599"/>
    <n v="332"/>
    <n v="267"/>
    <n v="125"/>
    <n v="140"/>
    <n v="82"/>
    <n v="209"/>
    <n v="110"/>
    <n v="17"/>
    <s v="WF-4"/>
    <s v="Forest Integrated Health"/>
    <x v="31"/>
  </r>
  <r>
    <s v="WF_LTC_SNS"/>
    <x v="12"/>
    <d v="2021-09-02T00:00:00"/>
    <s v="F86700"/>
    <n v="3050"/>
    <n v="223"/>
    <n v="207"/>
    <n v="140"/>
    <n v="75"/>
    <n v="13"/>
    <n v="114"/>
    <n v="91"/>
    <n v="62"/>
    <n v="12"/>
    <n v="222"/>
    <n v="153"/>
    <n v="150"/>
    <n v="148"/>
    <n v="750"/>
    <n v="540"/>
    <n v="210"/>
    <n v="44"/>
    <n v="210"/>
    <n v="73"/>
    <n v="256"/>
    <n v="160"/>
    <n v="32"/>
    <s v="WF-1"/>
    <s v="Chingford/ Walthamstow"/>
    <x v="32"/>
  </r>
  <r>
    <s v="WF_LTC_SNS"/>
    <x v="12"/>
    <d v="2021-09-02T00:00:00"/>
    <s v="F86701"/>
    <n v="2990"/>
    <n v="255"/>
    <n v="243"/>
    <n v="175"/>
    <n v="174"/>
    <n v="25"/>
    <n v="23"/>
    <n v="19"/>
    <n v="15"/>
    <n v="16"/>
    <n v="132"/>
    <n v="97"/>
    <n v="97"/>
    <n v="95"/>
    <n v="453"/>
    <n v="256"/>
    <n v="197"/>
    <n v="70"/>
    <n v="91"/>
    <n v="46"/>
    <n v="121"/>
    <n v="78"/>
    <n v="7"/>
    <s v="WF-5"/>
    <s v="South Leytonstone"/>
    <x v="33"/>
  </r>
  <r>
    <s v="WF_LTC_SNS"/>
    <x v="12"/>
    <d v="2021-09-02T00:00:00"/>
    <s v="F86705"/>
    <n v="2924"/>
    <n v="218"/>
    <n v="210"/>
    <n v="165"/>
    <n v="134"/>
    <n v="16"/>
    <n v="28"/>
    <n v="14"/>
    <n v="7"/>
    <n v="4"/>
    <n v="97"/>
    <n v="83"/>
    <n v="83"/>
    <n v="80"/>
    <n v="339"/>
    <n v="163"/>
    <n v="176"/>
    <n v="47"/>
    <n v="84"/>
    <n v="40"/>
    <n v="123"/>
    <n v="45"/>
    <n v="7"/>
    <s v="WF-5"/>
    <s v="South Leytonstone"/>
    <x v="34"/>
  </r>
  <r>
    <s v="WF_LTC_SNS"/>
    <x v="12"/>
    <d v="2021-09-02T00:00:00"/>
    <s v="F86708"/>
    <n v="2195"/>
    <n v="212"/>
    <n v="201"/>
    <n v="138"/>
    <n v="64"/>
    <n v="4"/>
    <n v="16"/>
    <n v="6"/>
    <n v="5"/>
    <n v="6"/>
    <n v="150"/>
    <n v="87"/>
    <n v="82"/>
    <n v="76"/>
    <n v="370"/>
    <n v="148"/>
    <n v="222"/>
    <n v="45"/>
    <n v="87"/>
    <n v="42"/>
    <n v="128"/>
    <n v="51"/>
    <n v="17"/>
    <s v="WF-6"/>
    <s v="Central Walthamstow"/>
    <x v="35"/>
  </r>
  <r>
    <s v="WF_LTC_SNS"/>
    <x v="12"/>
    <d v="2021-09-02T00:00:00"/>
    <s v="F86712"/>
    <n v="2739"/>
    <n v="205"/>
    <n v="192"/>
    <n v="68"/>
    <n v="162"/>
    <n v="24"/>
    <n v="13"/>
    <n v="9"/>
    <n v="7"/>
    <n v="9"/>
    <n v="98"/>
    <n v="72"/>
    <n v="68"/>
    <n v="69"/>
    <n v="336"/>
    <n v="164"/>
    <n v="172"/>
    <n v="63"/>
    <n v="64"/>
    <n v="29"/>
    <n v="136"/>
    <n v="58"/>
    <n v="6"/>
    <s v="WF-4"/>
    <s v="Forest Integrated Health"/>
    <x v="36"/>
  </r>
  <r>
    <s v="WF_LTC_SNS"/>
    <x v="12"/>
    <d v="2021-09-02T00:00:00"/>
    <s v="Y01291"/>
    <n v="7043"/>
    <n v="481"/>
    <n v="452"/>
    <n v="339"/>
    <n v="176"/>
    <n v="19"/>
    <n v="111"/>
    <n v="72"/>
    <n v="26"/>
    <n v="39"/>
    <n v="465"/>
    <n v="289"/>
    <n v="265"/>
    <n v="238"/>
    <n v="1231"/>
    <n v="734"/>
    <n v="497"/>
    <n v="144"/>
    <n v="312"/>
    <n v="151"/>
    <n v="499"/>
    <n v="210"/>
    <n v="15"/>
    <s v="WF-2"/>
    <s v="Chingford E4"/>
    <x v="37"/>
  </r>
  <r>
    <s v="WF_LTC_SNS"/>
    <x v="12"/>
    <d v="2021-09-02T00:00:00"/>
    <s v="Y01839"/>
    <n v="4952"/>
    <n v="413"/>
    <n v="387"/>
    <n v="154"/>
    <n v="271"/>
    <n v="24"/>
    <n v="79"/>
    <n v="32"/>
    <n v="14"/>
    <n v="12"/>
    <n v="318"/>
    <n v="110"/>
    <n v="109"/>
    <n v="108"/>
    <n v="713"/>
    <n v="294"/>
    <n v="419"/>
    <n v="53"/>
    <n v="165"/>
    <n v="85"/>
    <n v="277"/>
    <n v="106"/>
    <n v="31"/>
    <s v="WF-1"/>
    <s v="Chingford/ Walthamstow"/>
    <x v="38"/>
  </r>
  <r>
    <s v="WF_LTC_SNS"/>
    <x v="0"/>
    <d v="2021-10-12T00:00:00"/>
    <s v="F86001"/>
    <n v="6182"/>
    <n v="534"/>
    <n v="505"/>
    <n v="327"/>
    <n v="322"/>
    <n v="41"/>
    <n v="82"/>
    <n v="55"/>
    <n v="37"/>
    <n v="39"/>
    <n v="318"/>
    <n v="195"/>
    <n v="184"/>
    <n v="189"/>
    <n v="890"/>
    <n v="385"/>
    <n v="505"/>
    <n v="97"/>
    <n v="229"/>
    <n v="103"/>
    <n v="324"/>
    <n v="135"/>
    <n v="14"/>
    <s v="WF-6"/>
    <s v="Central Walthamstow"/>
    <x v="5"/>
  </r>
  <r>
    <s v="WF_LTC_SNS"/>
    <x v="0"/>
    <d v="2021-10-12T00:00:00"/>
    <s v="F86005"/>
    <n v="7178"/>
    <n v="355"/>
    <n v="325"/>
    <n v="211"/>
    <n v="224"/>
    <n v="43"/>
    <n v="106"/>
    <n v="81"/>
    <n v="16"/>
    <n v="66"/>
    <n v="362"/>
    <n v="176"/>
    <n v="166"/>
    <n v="172"/>
    <n v="803"/>
    <n v="426"/>
    <n v="377"/>
    <n v="100"/>
    <n v="153"/>
    <n v="77"/>
    <n v="268"/>
    <n v="142"/>
    <n v="24"/>
    <s v="WF-1"/>
    <s v="Chingford/ Walthamstow"/>
    <x v="6"/>
  </r>
  <r>
    <s v="WF_LTC_SNS"/>
    <x v="0"/>
    <d v="2021-10-12T00:00:00"/>
    <s v="F86006"/>
    <n v="5249"/>
    <n v="426"/>
    <n v="404"/>
    <n v="293"/>
    <n v="273"/>
    <n v="34"/>
    <n v="55"/>
    <n v="32"/>
    <n v="24"/>
    <n v="28"/>
    <n v="243"/>
    <n v="162"/>
    <n v="160"/>
    <n v="158"/>
    <n v="795"/>
    <n v="331"/>
    <n v="464"/>
    <n v="142"/>
    <n v="170"/>
    <n v="99"/>
    <n v="294"/>
    <n v="134"/>
    <n v="23"/>
    <s v="WF-7"/>
    <s v="Walthamstow West"/>
    <x v="7"/>
  </r>
  <r>
    <s v="WF_LTC_SNS"/>
    <x v="0"/>
    <d v="2021-10-12T00:00:00"/>
    <s v="F86011"/>
    <n v="7724"/>
    <n v="740"/>
    <n v="701"/>
    <n v="611"/>
    <n v="304"/>
    <n v="55"/>
    <n v="86"/>
    <n v="81"/>
    <n v="78"/>
    <n v="74"/>
    <n v="337"/>
    <n v="305"/>
    <n v="301"/>
    <n v="302"/>
    <n v="1135"/>
    <n v="591"/>
    <n v="544"/>
    <n v="164"/>
    <n v="353"/>
    <n v="206"/>
    <n v="507"/>
    <n v="225"/>
    <n v="65"/>
    <s v="WF-3"/>
    <s v="Leyton Collaborative"/>
    <x v="8"/>
  </r>
  <r>
    <s v="WF_LTC_SNS"/>
    <x v="0"/>
    <d v="2021-10-12T00:00:00"/>
    <s v="F86030"/>
    <n v="6276"/>
    <n v="559"/>
    <n v="542"/>
    <n v="476"/>
    <n v="453"/>
    <n v="131"/>
    <n v="38"/>
    <n v="13"/>
    <n v="6"/>
    <n v="11"/>
    <n v="347"/>
    <n v="302"/>
    <n v="298"/>
    <n v="296"/>
    <n v="713"/>
    <n v="495"/>
    <n v="218"/>
    <n v="76"/>
    <n v="199"/>
    <n v="127"/>
    <n v="328"/>
    <n v="159"/>
    <n v="27"/>
    <s v="WF-7"/>
    <s v="Walthamstow West"/>
    <x v="9"/>
  </r>
  <r>
    <s v="WF_LTC_SNS"/>
    <x v="0"/>
    <d v="2021-10-12T00:00:00"/>
    <s v="F86036"/>
    <n v="11908"/>
    <n v="789"/>
    <n v="722"/>
    <n v="385"/>
    <n v="540"/>
    <n v="51"/>
    <n v="106"/>
    <n v="89"/>
    <n v="85"/>
    <n v="86"/>
    <n v="591"/>
    <n v="208"/>
    <n v="194"/>
    <n v="196"/>
    <n v="1434"/>
    <n v="485"/>
    <n v="949"/>
    <n v="82"/>
    <n v="353"/>
    <n v="166"/>
    <n v="567"/>
    <n v="228"/>
    <n v="44"/>
    <s v="WF-4"/>
    <s v="Forest Integrated Health"/>
    <x v="10"/>
  </r>
  <r>
    <s v="WF_LTC_SNS"/>
    <x v="0"/>
    <d v="2021-10-12T00:00:00"/>
    <s v="F86038"/>
    <n v="8443"/>
    <n v="800"/>
    <n v="773"/>
    <n v="675"/>
    <n v="452"/>
    <n v="97"/>
    <n v="46"/>
    <n v="44"/>
    <n v="42"/>
    <n v="44"/>
    <n v="436"/>
    <n v="365"/>
    <n v="361"/>
    <n v="355"/>
    <n v="1096"/>
    <n v="598"/>
    <n v="498"/>
    <n v="156"/>
    <n v="347"/>
    <n v="191"/>
    <n v="449"/>
    <n v="184"/>
    <n v="75"/>
    <s v="WF-3"/>
    <s v="Leyton Collaborative"/>
    <x v="11"/>
  </r>
  <r>
    <s v="WF_LTC_SNS"/>
    <x v="0"/>
    <d v="2021-10-12T00:00:00"/>
    <s v="F86044"/>
    <n v="8193"/>
    <n v="400"/>
    <n v="368"/>
    <n v="262"/>
    <n v="209"/>
    <n v="14"/>
    <n v="33"/>
    <n v="25"/>
    <n v="21"/>
    <n v="24"/>
    <n v="315"/>
    <n v="222"/>
    <n v="218"/>
    <n v="218"/>
    <n v="753"/>
    <n v="279"/>
    <n v="474"/>
    <n v="103"/>
    <n v="146"/>
    <n v="83"/>
    <n v="255"/>
    <n v="136"/>
    <n v="24"/>
    <s v="WF-4"/>
    <s v="Forest Integrated Health"/>
    <x v="12"/>
  </r>
  <r>
    <s v="WF_LTC_SNS"/>
    <x v="0"/>
    <d v="2021-10-12T00:00:00"/>
    <s v="F86045"/>
    <n v="1678"/>
    <n v="137"/>
    <n v="133"/>
    <n v="83"/>
    <n v="110"/>
    <n v="8"/>
    <n v="19"/>
    <n v="15"/>
    <n v="12"/>
    <n v="9"/>
    <n v="85"/>
    <n v="63"/>
    <n v="63"/>
    <n v="63"/>
    <n v="267"/>
    <n v="101"/>
    <n v="166"/>
    <n v="31"/>
    <n v="71"/>
    <n v="32"/>
    <n v="78"/>
    <n v="23"/>
    <n v="10"/>
    <s v="WF-5"/>
    <s v="South Leytonstone"/>
    <x v="13"/>
  </r>
  <r>
    <s v="WF_LTC_SNS"/>
    <x v="0"/>
    <d v="2021-10-12T00:00:00"/>
    <s v="F86058"/>
    <n v="12795"/>
    <n v="788"/>
    <n v="729"/>
    <n v="446"/>
    <n v="568"/>
    <n v="70"/>
    <n v="107"/>
    <n v="52"/>
    <n v="37"/>
    <n v="47"/>
    <n v="561"/>
    <n v="111"/>
    <n v="87"/>
    <n v="87"/>
    <n v="1448"/>
    <n v="747"/>
    <n v="701"/>
    <n v="135"/>
    <n v="326"/>
    <n v="182"/>
    <n v="506"/>
    <n v="257"/>
    <n v="31"/>
    <s v="WF-7"/>
    <s v="Walthamstow West"/>
    <x v="14"/>
  </r>
  <r>
    <s v="WF_LTC_SNS"/>
    <x v="0"/>
    <d v="2021-10-12T00:00:00"/>
    <s v="F86062"/>
    <n v="5868"/>
    <n v="469"/>
    <n v="439"/>
    <n v="164"/>
    <n v="306"/>
    <n v="31"/>
    <n v="64"/>
    <n v="22"/>
    <n v="4"/>
    <n v="7"/>
    <n v="268"/>
    <n v="124"/>
    <n v="94"/>
    <n v="85"/>
    <n v="813"/>
    <n v="282"/>
    <n v="531"/>
    <n v="88"/>
    <n v="204"/>
    <n v="115"/>
    <n v="300"/>
    <n v="162"/>
    <n v="44"/>
    <s v="WF-7"/>
    <s v="Walthamstow West"/>
    <x v="15"/>
  </r>
  <r>
    <s v="WF_LTC_SNS"/>
    <x v="0"/>
    <d v="2021-10-12T00:00:00"/>
    <s v="F86078"/>
    <n v="5707"/>
    <n v="347"/>
    <n v="320"/>
    <n v="140"/>
    <n v="139"/>
    <n v="6"/>
    <n v="73"/>
    <n v="42"/>
    <n v="6"/>
    <n v="30"/>
    <n v="325"/>
    <n v="152"/>
    <n v="149"/>
    <n v="146"/>
    <n v="1091"/>
    <n v="435"/>
    <n v="656"/>
    <n v="34"/>
    <n v="279"/>
    <n v="126"/>
    <n v="481"/>
    <n v="271"/>
    <n v="7"/>
    <s v="WF-2"/>
    <s v="Chingford E4"/>
    <x v="16"/>
  </r>
  <r>
    <s v="WF_LTC_SNS"/>
    <x v="0"/>
    <d v="2021-10-12T00:00:00"/>
    <s v="F86086"/>
    <n v="4526"/>
    <n v="308"/>
    <n v="296"/>
    <n v="170"/>
    <n v="113"/>
    <n v="3"/>
    <n v="34"/>
    <n v="20"/>
    <n v="7"/>
    <n v="16"/>
    <n v="206"/>
    <n v="91"/>
    <n v="90"/>
    <n v="90"/>
    <n v="482"/>
    <n v="199"/>
    <n v="283"/>
    <n v="26"/>
    <n v="132"/>
    <n v="74"/>
    <n v="175"/>
    <n v="89"/>
    <n v="9"/>
    <s v="WF-6"/>
    <s v="Central Walthamstow"/>
    <x v="17"/>
  </r>
  <r>
    <s v="WF_LTC_SNS"/>
    <x v="0"/>
    <d v="2021-10-12T00:00:00"/>
    <s v="F86088"/>
    <n v="4056"/>
    <n v="367"/>
    <n v="349"/>
    <n v="85"/>
    <n v="149"/>
    <n v="8"/>
    <n v="36"/>
    <n v="10"/>
    <n v="0"/>
    <n v="0"/>
    <n v="208"/>
    <n v="118"/>
    <n v="110"/>
    <n v="107"/>
    <n v="668"/>
    <n v="219"/>
    <n v="449"/>
    <n v="35"/>
    <n v="131"/>
    <n v="63"/>
    <n v="210"/>
    <n v="118"/>
    <n v="18"/>
    <s v="WF-4"/>
    <s v="Forest Integrated Health"/>
    <x v="18"/>
  </r>
  <r>
    <s v="WF_LTC_SNS"/>
    <x v="0"/>
    <d v="2021-10-12T00:00:00"/>
    <s v="F86607"/>
    <n v="11516"/>
    <n v="657"/>
    <n v="622"/>
    <n v="448"/>
    <n v="279"/>
    <n v="32"/>
    <n v="88"/>
    <n v="49"/>
    <n v="31"/>
    <n v="33"/>
    <n v="657"/>
    <n v="450"/>
    <n v="431"/>
    <n v="439"/>
    <n v="1265"/>
    <n v="680"/>
    <n v="585"/>
    <n v="176"/>
    <n v="307"/>
    <n v="148"/>
    <n v="432"/>
    <n v="189"/>
    <n v="8"/>
    <s v="WF-6"/>
    <s v="Central Walthamstow"/>
    <x v="19"/>
  </r>
  <r>
    <s v="WF_LTC_SNS"/>
    <x v="0"/>
    <d v="2021-10-12T00:00:00"/>
    <s v="F86616"/>
    <n v="5910"/>
    <n v="353"/>
    <n v="326"/>
    <n v="291"/>
    <n v="110"/>
    <n v="22"/>
    <n v="65"/>
    <n v="41"/>
    <n v="33"/>
    <n v="4"/>
    <n v="381"/>
    <n v="300"/>
    <n v="291"/>
    <n v="280"/>
    <n v="818"/>
    <n v="594"/>
    <n v="224"/>
    <n v="76"/>
    <n v="236"/>
    <n v="105"/>
    <n v="378"/>
    <n v="192"/>
    <n v="12"/>
    <s v="WF-2"/>
    <s v="Chingford E4"/>
    <x v="20"/>
  </r>
  <r>
    <s v="WF_LTC_SNS"/>
    <x v="0"/>
    <d v="2021-10-12T00:00:00"/>
    <s v="F86621"/>
    <n v="5331"/>
    <n v="316"/>
    <n v="299"/>
    <n v="218"/>
    <n v="240"/>
    <n v="55"/>
    <n v="31"/>
    <n v="23"/>
    <n v="19"/>
    <n v="22"/>
    <n v="269"/>
    <n v="181"/>
    <n v="180"/>
    <n v="175"/>
    <n v="602"/>
    <n v="277"/>
    <n v="325"/>
    <n v="43"/>
    <n v="156"/>
    <n v="65"/>
    <n v="282"/>
    <n v="123"/>
    <n v="11"/>
    <s v="WF-5"/>
    <s v="South Leytonstone"/>
    <x v="21"/>
  </r>
  <r>
    <s v="WF_LTC_SNS"/>
    <x v="0"/>
    <d v="2021-10-12T00:00:00"/>
    <s v="F86625"/>
    <n v="4646"/>
    <n v="426"/>
    <n v="406"/>
    <n v="268"/>
    <n v="302"/>
    <n v="40"/>
    <n v="56"/>
    <n v="30"/>
    <n v="24"/>
    <n v="24"/>
    <n v="244"/>
    <n v="134"/>
    <n v="131"/>
    <n v="127"/>
    <n v="689"/>
    <n v="291"/>
    <n v="398"/>
    <n v="144"/>
    <n v="201"/>
    <n v="88"/>
    <n v="287"/>
    <n v="149"/>
    <n v="2"/>
    <s v="WF-5"/>
    <s v="South Leytonstone"/>
    <x v="22"/>
  </r>
  <r>
    <s v="WF_LTC_SNS"/>
    <x v="0"/>
    <d v="2021-10-12T00:00:00"/>
    <s v="F86626"/>
    <n v="5308"/>
    <n v="298"/>
    <n v="283"/>
    <n v="125"/>
    <n v="207"/>
    <n v="19"/>
    <n v="25"/>
    <n v="12"/>
    <n v="3"/>
    <n v="6"/>
    <n v="191"/>
    <n v="94"/>
    <n v="81"/>
    <n v="74"/>
    <n v="540"/>
    <n v="238"/>
    <n v="302"/>
    <n v="55"/>
    <n v="115"/>
    <n v="50"/>
    <n v="167"/>
    <n v="86"/>
    <n v="13"/>
    <s v="WF-1"/>
    <s v="Chingford/ Walthamstow"/>
    <x v="23"/>
  </r>
  <r>
    <s v="WF_LTC_SNS"/>
    <x v="0"/>
    <d v="2021-10-12T00:00:00"/>
    <s v="F86627"/>
    <n v="10642"/>
    <n v="814"/>
    <n v="767"/>
    <n v="407"/>
    <n v="231"/>
    <n v="15"/>
    <n v="229"/>
    <n v="181"/>
    <n v="61"/>
    <n v="150"/>
    <n v="706"/>
    <n v="389"/>
    <n v="374"/>
    <n v="376"/>
    <n v="1821"/>
    <n v="896"/>
    <n v="925"/>
    <n v="235"/>
    <n v="595"/>
    <n v="263"/>
    <n v="841"/>
    <n v="400"/>
    <n v="82"/>
    <s v="WF-2"/>
    <s v="Chingford E4"/>
    <x v="24"/>
  </r>
  <r>
    <s v="WF_LTC_SNS"/>
    <x v="0"/>
    <d v="2021-10-12T00:00:00"/>
    <s v="F86644"/>
    <n v="7310"/>
    <n v="526"/>
    <n v="505"/>
    <n v="217"/>
    <n v="352"/>
    <n v="27"/>
    <n v="94"/>
    <n v="61"/>
    <n v="49"/>
    <n v="57"/>
    <n v="367"/>
    <n v="192"/>
    <n v="173"/>
    <n v="167"/>
    <n v="1104"/>
    <n v="421"/>
    <n v="683"/>
    <n v="101"/>
    <n v="260"/>
    <n v="124"/>
    <n v="407"/>
    <n v="178"/>
    <n v="13"/>
    <s v="WF-6"/>
    <s v="Central Walthamstow"/>
    <x v="25"/>
  </r>
  <r>
    <s v="WF_LTC_SNS"/>
    <x v="0"/>
    <d v="2021-10-12T00:00:00"/>
    <s v="F86650"/>
    <n v="6335"/>
    <n v="504"/>
    <n v="475"/>
    <n v="289"/>
    <n v="380"/>
    <n v="42"/>
    <n v="58"/>
    <n v="42"/>
    <n v="37"/>
    <n v="39"/>
    <n v="339"/>
    <n v="224"/>
    <n v="222"/>
    <n v="219"/>
    <n v="694"/>
    <n v="322"/>
    <n v="372"/>
    <n v="94"/>
    <n v="190"/>
    <n v="90"/>
    <n v="314"/>
    <n v="146"/>
    <n v="24"/>
    <s v="WF-4"/>
    <s v="Forest Integrated Health"/>
    <x v="26"/>
  </r>
  <r>
    <s v="WF_LTC_SNS"/>
    <x v="0"/>
    <d v="2021-10-12T00:00:00"/>
    <s v="F86664"/>
    <n v="6501"/>
    <n v="414"/>
    <n v="376"/>
    <n v="216"/>
    <n v="276"/>
    <n v="28"/>
    <n v="98"/>
    <n v="78"/>
    <n v="47"/>
    <n v="62"/>
    <n v="323"/>
    <n v="240"/>
    <n v="227"/>
    <n v="221"/>
    <n v="864"/>
    <n v="465"/>
    <n v="399"/>
    <n v="27"/>
    <n v="262"/>
    <n v="86"/>
    <n v="391"/>
    <n v="204"/>
    <n v="39"/>
    <s v="WF-1"/>
    <s v="Chingford/ Walthamstow"/>
    <x v="27"/>
  </r>
  <r>
    <s v="WF_LTC_SNS"/>
    <x v="0"/>
    <d v="2021-10-12T00:00:00"/>
    <s v="F86666"/>
    <n v="11681"/>
    <n v="866"/>
    <n v="828"/>
    <n v="521"/>
    <n v="421"/>
    <n v="39"/>
    <n v="119"/>
    <n v="95"/>
    <n v="81"/>
    <n v="88"/>
    <n v="558"/>
    <n v="420"/>
    <n v="406"/>
    <n v="408"/>
    <n v="1784"/>
    <n v="964"/>
    <n v="820"/>
    <n v="307"/>
    <n v="314"/>
    <n v="171"/>
    <n v="408"/>
    <n v="216"/>
    <n v="24"/>
    <s v="WF-5"/>
    <s v="South Leytonstone"/>
    <x v="28"/>
  </r>
  <r>
    <s v="WF_LTC_SNS"/>
    <x v="0"/>
    <d v="2021-10-12T00:00:00"/>
    <s v="F86679"/>
    <n v="4508"/>
    <n v="237"/>
    <n v="221"/>
    <n v="211"/>
    <n v="142"/>
    <n v="46"/>
    <n v="30"/>
    <n v="26"/>
    <n v="26"/>
    <n v="23"/>
    <n v="207"/>
    <n v="176"/>
    <n v="173"/>
    <n v="168"/>
    <n v="457"/>
    <n v="267"/>
    <n v="190"/>
    <n v="34"/>
    <n v="79"/>
    <n v="45"/>
    <n v="130"/>
    <n v="72"/>
    <n v="15"/>
    <s v="WF-7"/>
    <s v="Walthamstow West"/>
    <x v="29"/>
  </r>
  <r>
    <s v="WF_LTC_SNS"/>
    <x v="0"/>
    <d v="2021-10-12T00:00:00"/>
    <s v="F86689"/>
    <n v="3235"/>
    <n v="123"/>
    <n v="111"/>
    <n v="73"/>
    <n v="68"/>
    <n v="10"/>
    <n v="43"/>
    <n v="30"/>
    <n v="7"/>
    <n v="4"/>
    <n v="186"/>
    <n v="124"/>
    <n v="123"/>
    <n v="122"/>
    <n v="294"/>
    <n v="200"/>
    <n v="94"/>
    <n v="25"/>
    <n v="75"/>
    <n v="34"/>
    <n v="111"/>
    <n v="53"/>
    <n v="18"/>
    <s v="WF-1"/>
    <s v="Chingford/ Walthamstow"/>
    <x v="30"/>
  </r>
  <r>
    <s v="WF_LTC_SNS"/>
    <x v="0"/>
    <d v="2021-10-12T00:00:00"/>
    <s v="F86696"/>
    <n v="5544"/>
    <n v="357"/>
    <n v="343"/>
    <n v="283"/>
    <n v="85"/>
    <n v="5"/>
    <n v="24"/>
    <n v="15"/>
    <n v="14"/>
    <n v="15"/>
    <n v="232"/>
    <n v="215"/>
    <n v="213"/>
    <n v="211"/>
    <n v="597"/>
    <n v="340"/>
    <n v="257"/>
    <n v="123"/>
    <n v="141"/>
    <n v="83"/>
    <n v="204"/>
    <n v="104"/>
    <n v="19"/>
    <s v="WF-4"/>
    <s v="Forest Integrated Health"/>
    <x v="31"/>
  </r>
  <r>
    <s v="WF_LTC_SNS"/>
    <x v="0"/>
    <d v="2021-10-12T00:00:00"/>
    <s v="F86700"/>
    <n v="3060"/>
    <n v="224"/>
    <n v="209"/>
    <n v="144"/>
    <n v="84"/>
    <n v="13"/>
    <n v="111"/>
    <n v="92"/>
    <n v="64"/>
    <n v="19"/>
    <n v="219"/>
    <n v="155"/>
    <n v="152"/>
    <n v="152"/>
    <n v="749"/>
    <n v="532"/>
    <n v="217"/>
    <n v="43"/>
    <n v="207"/>
    <n v="72"/>
    <n v="255"/>
    <n v="160"/>
    <n v="32"/>
    <s v="WF-1"/>
    <s v="Chingford/ Walthamstow"/>
    <x v="32"/>
  </r>
  <r>
    <s v="WF_LTC_SNS"/>
    <x v="0"/>
    <d v="2021-10-12T00:00:00"/>
    <s v="F86701"/>
    <n v="3000"/>
    <n v="257"/>
    <n v="245"/>
    <n v="171"/>
    <n v="177"/>
    <n v="22"/>
    <n v="24"/>
    <n v="17"/>
    <n v="15"/>
    <n v="15"/>
    <n v="133"/>
    <n v="102"/>
    <n v="102"/>
    <n v="102"/>
    <n v="451"/>
    <n v="253"/>
    <n v="198"/>
    <n v="74"/>
    <n v="91"/>
    <n v="47"/>
    <n v="123"/>
    <n v="78"/>
    <n v="7"/>
    <s v="WF-5"/>
    <s v="South Leytonstone"/>
    <x v="33"/>
  </r>
  <r>
    <s v="WF_LTC_SNS"/>
    <x v="0"/>
    <d v="2021-10-12T00:00:00"/>
    <s v="F86705"/>
    <n v="2919"/>
    <n v="215"/>
    <n v="207"/>
    <n v="162"/>
    <n v="129"/>
    <n v="13"/>
    <n v="28"/>
    <n v="20"/>
    <n v="18"/>
    <n v="10"/>
    <n v="95"/>
    <n v="84"/>
    <n v="84"/>
    <n v="81"/>
    <n v="335"/>
    <n v="179"/>
    <n v="156"/>
    <n v="39"/>
    <n v="84"/>
    <n v="40"/>
    <n v="122"/>
    <n v="47"/>
    <n v="7"/>
    <s v="WF-5"/>
    <s v="South Leytonstone"/>
    <x v="34"/>
  </r>
  <r>
    <s v="WF_LTC_SNS"/>
    <x v="0"/>
    <d v="2021-10-12T00:00:00"/>
    <s v="F86708"/>
    <n v="2207"/>
    <n v="211"/>
    <n v="201"/>
    <n v="145"/>
    <n v="60"/>
    <n v="6"/>
    <n v="17"/>
    <n v="9"/>
    <n v="8"/>
    <n v="9"/>
    <n v="151"/>
    <n v="103"/>
    <n v="100"/>
    <n v="97"/>
    <n v="373"/>
    <n v="169"/>
    <n v="204"/>
    <n v="49"/>
    <n v="87"/>
    <n v="42"/>
    <n v="132"/>
    <n v="56"/>
    <n v="17"/>
    <s v="WF-6"/>
    <s v="Central Walthamstow"/>
    <x v="35"/>
  </r>
  <r>
    <s v="WF_LTC_SNS"/>
    <x v="0"/>
    <d v="2021-10-12T00:00:00"/>
    <s v="F86712"/>
    <n v="2746"/>
    <n v="206"/>
    <n v="192"/>
    <n v="71"/>
    <n v="161"/>
    <n v="25"/>
    <n v="13"/>
    <n v="10"/>
    <n v="8"/>
    <n v="10"/>
    <n v="101"/>
    <n v="75"/>
    <n v="72"/>
    <n v="72"/>
    <n v="337"/>
    <n v="174"/>
    <n v="163"/>
    <n v="66"/>
    <n v="65"/>
    <n v="30"/>
    <n v="135"/>
    <n v="58"/>
    <n v="6"/>
    <s v="WF-4"/>
    <s v="Forest Integrated Health"/>
    <x v="36"/>
  </r>
  <r>
    <s v="WF_LTC_SNS"/>
    <x v="0"/>
    <d v="2021-10-12T00:00:00"/>
    <s v="Y01291"/>
    <n v="7002"/>
    <n v="479"/>
    <n v="449"/>
    <n v="341"/>
    <n v="165"/>
    <n v="14"/>
    <n v="109"/>
    <n v="76"/>
    <n v="28"/>
    <n v="40"/>
    <n v="465"/>
    <n v="302"/>
    <n v="285"/>
    <n v="265"/>
    <n v="1236"/>
    <n v="756"/>
    <n v="480"/>
    <n v="170"/>
    <n v="318"/>
    <n v="152"/>
    <n v="498"/>
    <n v="210"/>
    <n v="16"/>
    <s v="WF-2"/>
    <s v="Chingford E4"/>
    <x v="37"/>
  </r>
  <r>
    <s v="WF_LTC_SNS"/>
    <x v="0"/>
    <d v="2021-10-12T00:00:00"/>
    <s v="Y01839"/>
    <n v="4913"/>
    <n v="411"/>
    <n v="387"/>
    <n v="158"/>
    <n v="266"/>
    <n v="23"/>
    <n v="79"/>
    <n v="27"/>
    <n v="12"/>
    <n v="12"/>
    <n v="315"/>
    <n v="108"/>
    <n v="107"/>
    <n v="105"/>
    <n v="714"/>
    <n v="267"/>
    <n v="447"/>
    <n v="52"/>
    <n v="163"/>
    <n v="85"/>
    <n v="271"/>
    <n v="103"/>
    <n v="31"/>
    <s v="WF-1"/>
    <s v="Chingford/ Walthamstow"/>
    <x v="38"/>
  </r>
  <r>
    <s v="WF_LTC_SNS"/>
    <x v="1"/>
    <d v="2021-11-02T00:00:00"/>
    <s v="F86001"/>
    <n v="6200"/>
    <n v="536"/>
    <n v="506"/>
    <n v="336"/>
    <n v="332"/>
    <n v="45"/>
    <n v="80"/>
    <n v="57"/>
    <n v="38"/>
    <n v="40"/>
    <n v="322"/>
    <n v="204"/>
    <n v="197"/>
    <n v="200"/>
    <n v="884"/>
    <n v="420"/>
    <n v="464"/>
    <n v="95"/>
    <n v="226"/>
    <n v="101"/>
    <n v="320"/>
    <n v="137"/>
    <n v="14"/>
    <s v="WF-6"/>
    <s v="Central Walthamstow"/>
    <x v="5"/>
  </r>
  <r>
    <s v="WF_LTC_SNS"/>
    <x v="1"/>
    <d v="2021-11-02T00:00:00"/>
    <s v="F86005"/>
    <n v="7214"/>
    <n v="356"/>
    <n v="326"/>
    <n v="212"/>
    <n v="228"/>
    <n v="40"/>
    <n v="107"/>
    <n v="81"/>
    <n v="14"/>
    <n v="66"/>
    <n v="360"/>
    <n v="172"/>
    <n v="163"/>
    <n v="167"/>
    <n v="806"/>
    <n v="423"/>
    <n v="383"/>
    <n v="107"/>
    <n v="153"/>
    <n v="80"/>
    <n v="264"/>
    <n v="137"/>
    <n v="27"/>
    <s v="WF-1"/>
    <s v="Chingford/ Walthamstow"/>
    <x v="6"/>
  </r>
  <r>
    <s v="WF_LTC_SNS"/>
    <x v="1"/>
    <d v="2021-11-02T00:00:00"/>
    <s v="F86006"/>
    <n v="5279"/>
    <n v="430"/>
    <n v="409"/>
    <n v="290"/>
    <n v="279"/>
    <n v="37"/>
    <n v="58"/>
    <n v="33"/>
    <n v="24"/>
    <n v="29"/>
    <n v="246"/>
    <n v="165"/>
    <n v="163"/>
    <n v="161"/>
    <n v="802"/>
    <n v="338"/>
    <n v="464"/>
    <n v="150"/>
    <n v="170"/>
    <n v="99"/>
    <n v="294"/>
    <n v="135"/>
    <n v="26"/>
    <s v="WF-7"/>
    <s v="Walthamstow West"/>
    <x v="7"/>
  </r>
  <r>
    <s v="WF_LTC_SNS"/>
    <x v="1"/>
    <d v="2021-11-02T00:00:00"/>
    <s v="F86011"/>
    <n v="7758"/>
    <n v="743"/>
    <n v="704"/>
    <n v="618"/>
    <n v="344"/>
    <n v="57"/>
    <n v="87"/>
    <n v="82"/>
    <n v="77"/>
    <n v="75"/>
    <n v="338"/>
    <n v="309"/>
    <n v="304"/>
    <n v="305"/>
    <n v="1137"/>
    <n v="583"/>
    <n v="554"/>
    <n v="192"/>
    <n v="352"/>
    <n v="204"/>
    <n v="509"/>
    <n v="229"/>
    <n v="69"/>
    <s v="WF-3"/>
    <s v="Leyton Collaborative"/>
    <x v="8"/>
  </r>
  <r>
    <s v="WF_LTC_SNS"/>
    <x v="1"/>
    <d v="2021-11-02T00:00:00"/>
    <s v="F86030"/>
    <n v="6259"/>
    <n v="557"/>
    <n v="540"/>
    <n v="482"/>
    <n v="457"/>
    <n v="128"/>
    <n v="37"/>
    <n v="26"/>
    <n v="19"/>
    <n v="25"/>
    <n v="349"/>
    <n v="305"/>
    <n v="302"/>
    <n v="299"/>
    <n v="722"/>
    <n v="487"/>
    <n v="235"/>
    <n v="86"/>
    <n v="198"/>
    <n v="128"/>
    <n v="326"/>
    <n v="156"/>
    <n v="28"/>
    <s v="WF-7"/>
    <s v="Walthamstow West"/>
    <x v="9"/>
  </r>
  <r>
    <s v="WF_LTC_SNS"/>
    <x v="1"/>
    <d v="2021-11-02T00:00:00"/>
    <s v="F86036"/>
    <n v="11882"/>
    <n v="787"/>
    <n v="722"/>
    <n v="396"/>
    <n v="537"/>
    <n v="57"/>
    <n v="106"/>
    <n v="91"/>
    <n v="88"/>
    <n v="88"/>
    <n v="592"/>
    <n v="225"/>
    <n v="215"/>
    <n v="217"/>
    <n v="1432"/>
    <n v="510"/>
    <n v="922"/>
    <n v="97"/>
    <n v="356"/>
    <n v="174"/>
    <n v="567"/>
    <n v="228"/>
    <n v="42"/>
    <s v="WF-4"/>
    <s v="Forest Integrated Health"/>
    <x v="10"/>
  </r>
  <r>
    <s v="WF_LTC_SNS"/>
    <x v="1"/>
    <d v="2021-11-02T00:00:00"/>
    <s v="F86038"/>
    <n v="8455"/>
    <n v="803"/>
    <n v="776"/>
    <n v="667"/>
    <n v="470"/>
    <n v="98"/>
    <n v="45"/>
    <n v="43"/>
    <n v="40"/>
    <n v="43"/>
    <n v="436"/>
    <n v="371"/>
    <n v="367"/>
    <n v="363"/>
    <n v="1089"/>
    <n v="634"/>
    <n v="455"/>
    <n v="147"/>
    <n v="349"/>
    <n v="194"/>
    <n v="446"/>
    <n v="186"/>
    <n v="74"/>
    <s v="WF-3"/>
    <s v="Leyton Collaborative"/>
    <x v="11"/>
  </r>
  <r>
    <s v="WF_LTC_SNS"/>
    <x v="1"/>
    <d v="2021-11-02T00:00:00"/>
    <s v="F86044"/>
    <n v="8305"/>
    <n v="405"/>
    <n v="371"/>
    <n v="274"/>
    <n v="211"/>
    <n v="19"/>
    <n v="32"/>
    <n v="24"/>
    <n v="20"/>
    <n v="23"/>
    <n v="321"/>
    <n v="238"/>
    <n v="233"/>
    <n v="233"/>
    <n v="750"/>
    <n v="297"/>
    <n v="453"/>
    <n v="104"/>
    <n v="149"/>
    <n v="82"/>
    <n v="256"/>
    <n v="136"/>
    <n v="24"/>
    <s v="WF-4"/>
    <s v="Forest Integrated Health"/>
    <x v="12"/>
  </r>
  <r>
    <s v="WF_LTC_SNS"/>
    <x v="1"/>
    <d v="2021-11-02T00:00:00"/>
    <s v="F86045"/>
    <n v="1692"/>
    <n v="138"/>
    <n v="134"/>
    <n v="80"/>
    <n v="111"/>
    <n v="8"/>
    <n v="19"/>
    <n v="14"/>
    <n v="11"/>
    <n v="8"/>
    <n v="85"/>
    <n v="62"/>
    <n v="62"/>
    <n v="62"/>
    <n v="267"/>
    <n v="91"/>
    <n v="176"/>
    <n v="29"/>
    <n v="70"/>
    <n v="32"/>
    <n v="78"/>
    <n v="23"/>
    <n v="8"/>
    <s v="WF-5"/>
    <s v="South Leytonstone"/>
    <x v="13"/>
  </r>
  <r>
    <s v="WF_LTC_SNS"/>
    <x v="1"/>
    <d v="2021-11-02T00:00:00"/>
    <s v="F86058"/>
    <n v="12980"/>
    <n v="795"/>
    <n v="735"/>
    <n v="453"/>
    <n v="568"/>
    <n v="71"/>
    <n v="107"/>
    <n v="65"/>
    <n v="59"/>
    <n v="62"/>
    <n v="560"/>
    <n v="132"/>
    <n v="118"/>
    <n v="119"/>
    <n v="1460"/>
    <n v="788"/>
    <n v="672"/>
    <n v="135"/>
    <n v="328"/>
    <n v="181"/>
    <n v="513"/>
    <n v="264"/>
    <n v="32"/>
    <s v="WF-7"/>
    <s v="Walthamstow West"/>
    <x v="14"/>
  </r>
  <r>
    <s v="WF_LTC_SNS"/>
    <x v="1"/>
    <d v="2021-11-02T00:00:00"/>
    <s v="F86062"/>
    <n v="5842"/>
    <n v="465"/>
    <n v="436"/>
    <n v="152"/>
    <n v="311"/>
    <n v="30"/>
    <n v="64"/>
    <n v="20"/>
    <n v="5"/>
    <n v="8"/>
    <n v="266"/>
    <n v="111"/>
    <n v="91"/>
    <n v="79"/>
    <n v="819"/>
    <n v="303"/>
    <n v="516"/>
    <n v="97"/>
    <n v="201"/>
    <n v="113"/>
    <n v="297"/>
    <n v="161"/>
    <n v="47"/>
    <s v="WF-7"/>
    <s v="Walthamstow West"/>
    <x v="15"/>
  </r>
  <r>
    <s v="WF_LTC_SNS"/>
    <x v="1"/>
    <d v="2021-11-02T00:00:00"/>
    <s v="F86078"/>
    <n v="5756"/>
    <n v="347"/>
    <n v="319"/>
    <n v="138"/>
    <n v="138"/>
    <n v="8"/>
    <n v="74"/>
    <n v="41"/>
    <n v="5"/>
    <n v="33"/>
    <n v="324"/>
    <n v="179"/>
    <n v="177"/>
    <n v="175"/>
    <n v="1087"/>
    <n v="428"/>
    <n v="659"/>
    <n v="35"/>
    <n v="280"/>
    <n v="124"/>
    <n v="476"/>
    <n v="273"/>
    <n v="8"/>
    <s v="WF-2"/>
    <s v="Chingford E4"/>
    <x v="16"/>
  </r>
  <r>
    <s v="WF_LTC_SNS"/>
    <x v="1"/>
    <d v="2021-11-02T00:00:00"/>
    <s v="F86086"/>
    <n v="4534"/>
    <n v="311"/>
    <n v="300"/>
    <n v="178"/>
    <n v="109"/>
    <n v="6"/>
    <n v="32"/>
    <n v="18"/>
    <n v="5"/>
    <n v="14"/>
    <n v="206"/>
    <n v="96"/>
    <n v="94"/>
    <n v="94"/>
    <n v="481"/>
    <n v="215"/>
    <n v="266"/>
    <n v="30"/>
    <n v="132"/>
    <n v="75"/>
    <n v="174"/>
    <n v="92"/>
    <n v="9"/>
    <s v="WF-6"/>
    <s v="Central Walthamstow"/>
    <x v="17"/>
  </r>
  <r>
    <s v="WF_LTC_SNS"/>
    <x v="1"/>
    <d v="2021-11-02T00:00:00"/>
    <s v="F86088"/>
    <n v="4078"/>
    <n v="367"/>
    <n v="350"/>
    <n v="93"/>
    <n v="146"/>
    <n v="5"/>
    <n v="35"/>
    <n v="19"/>
    <n v="0"/>
    <n v="16"/>
    <n v="212"/>
    <n v="151"/>
    <n v="147"/>
    <n v="144"/>
    <n v="670"/>
    <n v="224"/>
    <n v="446"/>
    <n v="46"/>
    <n v="130"/>
    <n v="64"/>
    <n v="213"/>
    <n v="118"/>
    <n v="18"/>
    <s v="WF-4"/>
    <s v="Forest Integrated Health"/>
    <x v="18"/>
  </r>
  <r>
    <s v="WF_LTC_SNS"/>
    <x v="1"/>
    <d v="2021-11-02T00:00:00"/>
    <s v="F86607"/>
    <n v="11580"/>
    <n v="658"/>
    <n v="623"/>
    <n v="464"/>
    <n v="257"/>
    <n v="32"/>
    <n v="89"/>
    <n v="51"/>
    <n v="37"/>
    <n v="38"/>
    <n v="660"/>
    <n v="457"/>
    <n v="445"/>
    <n v="452"/>
    <n v="1265"/>
    <n v="703"/>
    <n v="562"/>
    <n v="181"/>
    <n v="307"/>
    <n v="149"/>
    <n v="435"/>
    <n v="192"/>
    <n v="8"/>
    <s v="WF-6"/>
    <s v="Central Walthamstow"/>
    <x v="19"/>
  </r>
  <r>
    <s v="WF_LTC_SNS"/>
    <x v="1"/>
    <d v="2021-11-02T00:00:00"/>
    <s v="F86616"/>
    <n v="5942"/>
    <n v="353"/>
    <n v="326"/>
    <n v="290"/>
    <n v="111"/>
    <n v="25"/>
    <n v="65"/>
    <n v="36"/>
    <n v="25"/>
    <n v="5"/>
    <n v="381"/>
    <n v="296"/>
    <n v="291"/>
    <n v="286"/>
    <n v="823"/>
    <n v="594"/>
    <n v="229"/>
    <n v="86"/>
    <n v="236"/>
    <n v="107"/>
    <n v="382"/>
    <n v="192"/>
    <n v="10"/>
    <s v="WF-2"/>
    <s v="Chingford E4"/>
    <x v="20"/>
  </r>
  <r>
    <s v="WF_LTC_SNS"/>
    <x v="1"/>
    <d v="2021-11-02T00:00:00"/>
    <s v="F86621"/>
    <n v="5350"/>
    <n v="316"/>
    <n v="300"/>
    <n v="216"/>
    <n v="240"/>
    <n v="46"/>
    <n v="31"/>
    <n v="23"/>
    <n v="20"/>
    <n v="22"/>
    <n v="270"/>
    <n v="184"/>
    <n v="182"/>
    <n v="177"/>
    <n v="601"/>
    <n v="280"/>
    <n v="321"/>
    <n v="51"/>
    <n v="157"/>
    <n v="66"/>
    <n v="278"/>
    <n v="120"/>
    <n v="10"/>
    <s v="WF-5"/>
    <s v="South Leytonstone"/>
    <x v="21"/>
  </r>
  <r>
    <s v="WF_LTC_SNS"/>
    <x v="1"/>
    <d v="2021-11-02T00:00:00"/>
    <s v="F86625"/>
    <n v="4649"/>
    <n v="422"/>
    <n v="402"/>
    <n v="255"/>
    <n v="295"/>
    <n v="46"/>
    <n v="55"/>
    <n v="31"/>
    <n v="24"/>
    <n v="27"/>
    <n v="244"/>
    <n v="142"/>
    <n v="138"/>
    <n v="133"/>
    <n v="690"/>
    <n v="293"/>
    <n v="397"/>
    <n v="134"/>
    <n v="202"/>
    <n v="88"/>
    <n v="282"/>
    <n v="144"/>
    <n v="3"/>
    <s v="WF-5"/>
    <s v="South Leytonstone"/>
    <x v="22"/>
  </r>
  <r>
    <s v="WF_LTC_SNS"/>
    <x v="1"/>
    <d v="2021-11-02T00:00:00"/>
    <s v="F86626"/>
    <n v="5357"/>
    <n v="299"/>
    <n v="284"/>
    <n v="126"/>
    <n v="213"/>
    <n v="15"/>
    <n v="25"/>
    <n v="11"/>
    <n v="3"/>
    <n v="6"/>
    <n v="192"/>
    <n v="92"/>
    <n v="77"/>
    <n v="70"/>
    <n v="540"/>
    <n v="237"/>
    <n v="303"/>
    <n v="60"/>
    <n v="116"/>
    <n v="52"/>
    <n v="171"/>
    <n v="89"/>
    <n v="13"/>
    <s v="WF-1"/>
    <s v="Chingford/ Walthamstow"/>
    <x v="23"/>
  </r>
  <r>
    <s v="WF_LTC_SNS"/>
    <x v="1"/>
    <d v="2021-11-02T00:00:00"/>
    <s v="F86627"/>
    <n v="10657"/>
    <n v="813"/>
    <n v="766"/>
    <n v="417"/>
    <n v="227"/>
    <n v="16"/>
    <n v="228"/>
    <n v="186"/>
    <n v="70"/>
    <n v="154"/>
    <n v="705"/>
    <n v="412"/>
    <n v="396"/>
    <n v="399"/>
    <n v="1823"/>
    <n v="931"/>
    <n v="892"/>
    <n v="258"/>
    <n v="594"/>
    <n v="257"/>
    <n v="839"/>
    <n v="391"/>
    <n v="85"/>
    <s v="WF-2"/>
    <s v="Chingford E4"/>
    <x v="24"/>
  </r>
  <r>
    <s v="WF_LTC_SNS"/>
    <x v="1"/>
    <d v="2021-11-02T00:00:00"/>
    <s v="F86644"/>
    <n v="7293"/>
    <n v="526"/>
    <n v="505"/>
    <n v="226"/>
    <n v="366"/>
    <n v="25"/>
    <n v="94"/>
    <n v="60"/>
    <n v="47"/>
    <n v="56"/>
    <n v="368"/>
    <n v="191"/>
    <n v="176"/>
    <n v="170"/>
    <n v="1102"/>
    <n v="406"/>
    <n v="696"/>
    <n v="109"/>
    <n v="258"/>
    <n v="123"/>
    <n v="407"/>
    <n v="181"/>
    <n v="13"/>
    <s v="WF-6"/>
    <s v="Central Walthamstow"/>
    <x v="25"/>
  </r>
  <r>
    <s v="WF_LTC_SNS"/>
    <x v="1"/>
    <d v="2021-11-02T00:00:00"/>
    <s v="F86650"/>
    <n v="6375"/>
    <n v="509"/>
    <n v="480"/>
    <n v="295"/>
    <n v="373"/>
    <n v="44"/>
    <n v="57"/>
    <n v="41"/>
    <n v="35"/>
    <n v="38"/>
    <n v="342"/>
    <n v="213"/>
    <n v="213"/>
    <n v="212"/>
    <n v="699"/>
    <n v="313"/>
    <n v="386"/>
    <n v="99"/>
    <n v="195"/>
    <n v="94"/>
    <n v="317"/>
    <n v="142"/>
    <n v="23"/>
    <s v="WF-4"/>
    <s v="Forest Integrated Health"/>
    <x v="26"/>
  </r>
  <r>
    <s v="WF_LTC_SNS"/>
    <x v="1"/>
    <d v="2021-11-02T00:00:00"/>
    <s v="F86664"/>
    <n v="6524"/>
    <n v="419"/>
    <n v="380"/>
    <n v="215"/>
    <n v="277"/>
    <n v="27"/>
    <n v="98"/>
    <n v="80"/>
    <n v="54"/>
    <n v="70"/>
    <n v="323"/>
    <n v="233"/>
    <n v="224"/>
    <n v="219"/>
    <n v="868"/>
    <n v="491"/>
    <n v="377"/>
    <n v="18"/>
    <n v="263"/>
    <n v="87"/>
    <n v="394"/>
    <n v="204"/>
    <n v="37"/>
    <s v="WF-1"/>
    <s v="Chingford/ Walthamstow"/>
    <x v="27"/>
  </r>
  <r>
    <s v="WF_LTC_SNS"/>
    <x v="1"/>
    <d v="2021-11-02T00:00:00"/>
    <s v="F86666"/>
    <n v="11712"/>
    <n v="869"/>
    <n v="830"/>
    <n v="513"/>
    <n v="397"/>
    <n v="36"/>
    <n v="119"/>
    <n v="95"/>
    <n v="77"/>
    <n v="88"/>
    <n v="552"/>
    <n v="415"/>
    <n v="404"/>
    <n v="412"/>
    <n v="1789"/>
    <n v="954"/>
    <n v="835"/>
    <n v="319"/>
    <n v="315"/>
    <n v="170"/>
    <n v="418"/>
    <n v="220"/>
    <n v="28"/>
    <s v="WF-5"/>
    <s v="South Leytonstone"/>
    <x v="28"/>
  </r>
  <r>
    <s v="WF_LTC_SNS"/>
    <x v="1"/>
    <d v="2021-11-02T00:00:00"/>
    <s v="F86679"/>
    <n v="4563"/>
    <n v="240"/>
    <n v="224"/>
    <n v="210"/>
    <n v="149"/>
    <n v="45"/>
    <n v="30"/>
    <n v="28"/>
    <n v="28"/>
    <n v="25"/>
    <n v="205"/>
    <n v="171"/>
    <n v="167"/>
    <n v="164"/>
    <n v="467"/>
    <n v="275"/>
    <n v="192"/>
    <n v="36"/>
    <n v="81"/>
    <n v="47"/>
    <n v="133"/>
    <n v="76"/>
    <n v="17"/>
    <s v="WF-7"/>
    <s v="Walthamstow West"/>
    <x v="29"/>
  </r>
  <r>
    <s v="WF_LTC_SNS"/>
    <x v="1"/>
    <d v="2021-11-02T00:00:00"/>
    <s v="F86689"/>
    <n v="3250"/>
    <n v="126"/>
    <n v="113"/>
    <n v="82"/>
    <n v="66"/>
    <n v="7"/>
    <n v="42"/>
    <n v="34"/>
    <n v="6"/>
    <n v="11"/>
    <n v="192"/>
    <n v="131"/>
    <n v="130"/>
    <n v="128"/>
    <n v="298"/>
    <n v="197"/>
    <n v="101"/>
    <n v="27"/>
    <n v="76"/>
    <n v="35"/>
    <n v="113"/>
    <n v="53"/>
    <n v="20"/>
    <s v="WF-1"/>
    <s v="Chingford/ Walthamstow"/>
    <x v="30"/>
  </r>
  <r>
    <s v="WF_LTC_SNS"/>
    <x v="1"/>
    <d v="2021-11-02T00:00:00"/>
    <s v="F86696"/>
    <n v="5553"/>
    <n v="355"/>
    <n v="341"/>
    <n v="284"/>
    <n v="82"/>
    <n v="4"/>
    <n v="24"/>
    <n v="14"/>
    <n v="13"/>
    <n v="14"/>
    <n v="235"/>
    <n v="214"/>
    <n v="213"/>
    <n v="212"/>
    <n v="591"/>
    <n v="341"/>
    <n v="250"/>
    <n v="124"/>
    <n v="142"/>
    <n v="83"/>
    <n v="208"/>
    <n v="108"/>
    <n v="17"/>
    <s v="WF-4"/>
    <s v="Forest Integrated Health"/>
    <x v="31"/>
  </r>
  <r>
    <s v="WF_LTC_SNS"/>
    <x v="1"/>
    <d v="2021-11-02T00:00:00"/>
    <s v="F86700"/>
    <n v="3067"/>
    <n v="224"/>
    <n v="209"/>
    <n v="149"/>
    <n v="78"/>
    <n v="11"/>
    <n v="110"/>
    <n v="97"/>
    <n v="64"/>
    <n v="22"/>
    <n v="222"/>
    <n v="165"/>
    <n v="162"/>
    <n v="162"/>
    <n v="750"/>
    <n v="534"/>
    <n v="216"/>
    <n v="38"/>
    <n v="207"/>
    <n v="70"/>
    <n v="268"/>
    <n v="167"/>
    <n v="33"/>
    <s v="WF-1"/>
    <s v="Chingford/ Walthamstow"/>
    <x v="32"/>
  </r>
  <r>
    <s v="WF_LTC_SNS"/>
    <x v="1"/>
    <d v="2021-11-02T00:00:00"/>
    <s v="F86701"/>
    <n v="3008"/>
    <n v="259"/>
    <n v="247"/>
    <n v="156"/>
    <n v="179"/>
    <n v="15"/>
    <n v="24"/>
    <n v="20"/>
    <n v="17"/>
    <n v="19"/>
    <n v="135"/>
    <n v="106"/>
    <n v="106"/>
    <n v="106"/>
    <n v="452"/>
    <n v="238"/>
    <n v="214"/>
    <n v="81"/>
    <n v="90"/>
    <n v="47"/>
    <n v="122"/>
    <n v="78"/>
    <n v="6"/>
    <s v="WF-5"/>
    <s v="South Leytonstone"/>
    <x v="33"/>
  </r>
  <r>
    <s v="WF_LTC_SNS"/>
    <x v="1"/>
    <d v="2021-11-02T00:00:00"/>
    <s v="F86705"/>
    <n v="2915"/>
    <n v="219"/>
    <n v="210"/>
    <n v="158"/>
    <n v="131"/>
    <n v="14"/>
    <n v="27"/>
    <n v="22"/>
    <n v="19"/>
    <n v="11"/>
    <n v="96"/>
    <n v="84"/>
    <n v="84"/>
    <n v="81"/>
    <n v="336"/>
    <n v="177"/>
    <n v="159"/>
    <n v="37"/>
    <n v="85"/>
    <n v="41"/>
    <n v="124"/>
    <n v="49"/>
    <n v="6"/>
    <s v="WF-5"/>
    <s v="South Leytonstone"/>
    <x v="34"/>
  </r>
  <r>
    <s v="WF_LTC_SNS"/>
    <x v="1"/>
    <d v="2021-11-02T00:00:00"/>
    <s v="F86708"/>
    <n v="2215"/>
    <n v="214"/>
    <n v="203"/>
    <n v="149"/>
    <n v="60"/>
    <n v="7"/>
    <n v="17"/>
    <n v="9"/>
    <n v="8"/>
    <n v="9"/>
    <n v="152"/>
    <n v="112"/>
    <n v="109"/>
    <n v="109"/>
    <n v="373"/>
    <n v="165"/>
    <n v="208"/>
    <n v="58"/>
    <n v="88"/>
    <n v="43"/>
    <n v="135"/>
    <n v="60"/>
    <n v="19"/>
    <s v="WF-6"/>
    <s v="Central Walthamstow"/>
    <x v="35"/>
  </r>
  <r>
    <s v="WF_LTC_SNS"/>
    <x v="1"/>
    <d v="2021-11-02T00:00:00"/>
    <s v="F86712"/>
    <n v="2769"/>
    <n v="205"/>
    <n v="191"/>
    <n v="72"/>
    <n v="161"/>
    <n v="26"/>
    <n v="12"/>
    <n v="10"/>
    <n v="8"/>
    <n v="10"/>
    <n v="101"/>
    <n v="73"/>
    <n v="71"/>
    <n v="71"/>
    <n v="340"/>
    <n v="179"/>
    <n v="161"/>
    <n v="64"/>
    <n v="65"/>
    <n v="31"/>
    <n v="135"/>
    <n v="56"/>
    <n v="6"/>
    <s v="WF-4"/>
    <s v="Forest Integrated Health"/>
    <x v="36"/>
  </r>
  <r>
    <s v="WF_LTC_SNS"/>
    <x v="1"/>
    <d v="2021-11-02T00:00:00"/>
    <s v="Y01291"/>
    <n v="7028"/>
    <n v="489"/>
    <n v="458"/>
    <n v="345"/>
    <n v="151"/>
    <n v="10"/>
    <n v="110"/>
    <n v="79"/>
    <n v="27"/>
    <n v="42"/>
    <n v="462"/>
    <n v="314"/>
    <n v="301"/>
    <n v="288"/>
    <n v="1244"/>
    <n v="782"/>
    <n v="462"/>
    <n v="196"/>
    <n v="325"/>
    <n v="154"/>
    <n v="507"/>
    <n v="210"/>
    <n v="17"/>
    <s v="WF-2"/>
    <s v="Chingford E4"/>
    <x v="37"/>
  </r>
  <r>
    <s v="WF_LTC_SNS"/>
    <x v="1"/>
    <d v="2021-11-02T00:00:00"/>
    <s v="Y01839"/>
    <n v="4893"/>
    <n v="414"/>
    <n v="390"/>
    <n v="157"/>
    <n v="266"/>
    <n v="22"/>
    <n v="78"/>
    <n v="28"/>
    <n v="15"/>
    <n v="16"/>
    <n v="316"/>
    <n v="103"/>
    <n v="102"/>
    <n v="98"/>
    <n v="716"/>
    <n v="255"/>
    <n v="461"/>
    <n v="42"/>
    <n v="164"/>
    <n v="85"/>
    <n v="268"/>
    <n v="99"/>
    <n v="32"/>
    <s v="WF-1"/>
    <s v="Chingford/ Walthamstow"/>
    <x v="38"/>
  </r>
  <r>
    <s v="WF_LTC_SNS"/>
    <x v="2"/>
    <d v="2021-12-02T00:00:00"/>
    <s v="F86001"/>
    <n v="6215"/>
    <n v="542"/>
    <n v="511"/>
    <n v="352"/>
    <n v="350"/>
    <n v="50"/>
    <n v="81"/>
    <n v="58"/>
    <n v="39"/>
    <n v="39"/>
    <n v="337"/>
    <n v="221"/>
    <n v="214"/>
    <n v="216"/>
    <n v="887"/>
    <n v="430"/>
    <n v="457"/>
    <n v="102"/>
    <n v="230"/>
    <n v="103"/>
    <n v="322"/>
    <n v="140"/>
    <n v="13"/>
    <s v="WF-6"/>
    <s v="Central Walthamstow"/>
    <x v="5"/>
  </r>
  <r>
    <s v="WF_LTC_SNS"/>
    <x v="2"/>
    <d v="2021-12-02T00:00:00"/>
    <s v="F86005"/>
    <n v="7297"/>
    <n v="360"/>
    <n v="329"/>
    <n v="216"/>
    <n v="229"/>
    <n v="37"/>
    <n v="107"/>
    <n v="83"/>
    <n v="15"/>
    <n v="68"/>
    <n v="369"/>
    <n v="174"/>
    <n v="167"/>
    <n v="169"/>
    <n v="809"/>
    <n v="418"/>
    <n v="391"/>
    <n v="119"/>
    <n v="153"/>
    <n v="81"/>
    <n v="261"/>
    <n v="139"/>
    <n v="28"/>
    <s v="WF-1"/>
    <s v="Chingford/ Walthamstow"/>
    <x v="6"/>
  </r>
  <r>
    <s v="WF_LTC_SNS"/>
    <x v="2"/>
    <d v="2021-12-02T00:00:00"/>
    <s v="F86006"/>
    <n v="5294"/>
    <n v="436"/>
    <n v="415"/>
    <n v="318"/>
    <n v="282"/>
    <n v="34"/>
    <n v="60"/>
    <n v="33"/>
    <n v="24"/>
    <n v="30"/>
    <n v="247"/>
    <n v="128"/>
    <n v="126"/>
    <n v="125"/>
    <n v="847"/>
    <n v="354"/>
    <n v="493"/>
    <n v="182"/>
    <n v="171"/>
    <n v="101"/>
    <n v="297"/>
    <n v="136"/>
    <n v="24"/>
    <s v="WF-7"/>
    <s v="Walthamstow West"/>
    <x v="7"/>
  </r>
  <r>
    <s v="WF_LTC_SNS"/>
    <x v="2"/>
    <d v="2021-12-02T00:00:00"/>
    <s v="F86011"/>
    <n v="7758"/>
    <n v="736"/>
    <n v="697"/>
    <n v="612"/>
    <n v="386"/>
    <n v="63"/>
    <n v="88"/>
    <n v="81"/>
    <n v="77"/>
    <n v="74"/>
    <n v="338"/>
    <n v="312"/>
    <n v="311"/>
    <n v="309"/>
    <n v="1135"/>
    <n v="600"/>
    <n v="535"/>
    <n v="203"/>
    <n v="353"/>
    <n v="202"/>
    <n v="508"/>
    <n v="230"/>
    <n v="68"/>
    <s v="WF-3"/>
    <s v="Leyton Collaborative"/>
    <x v="8"/>
  </r>
  <r>
    <s v="WF_LTC_SNS"/>
    <x v="2"/>
    <d v="2021-12-02T00:00:00"/>
    <s v="F86030"/>
    <n v="6251"/>
    <n v="560"/>
    <n v="541"/>
    <n v="493"/>
    <n v="456"/>
    <n v="129"/>
    <n v="37"/>
    <n v="31"/>
    <n v="27"/>
    <n v="31"/>
    <n v="355"/>
    <n v="293"/>
    <n v="293"/>
    <n v="285"/>
    <n v="732"/>
    <n v="474"/>
    <n v="258"/>
    <n v="108"/>
    <n v="199"/>
    <n v="128"/>
    <n v="326"/>
    <n v="155"/>
    <n v="25"/>
    <s v="WF-7"/>
    <s v="Walthamstow West"/>
    <x v="9"/>
  </r>
  <r>
    <s v="WF_LTC_SNS"/>
    <x v="2"/>
    <d v="2021-12-02T00:00:00"/>
    <s v="F86036"/>
    <n v="11746"/>
    <n v="783"/>
    <n v="719"/>
    <n v="420"/>
    <n v="533"/>
    <n v="60"/>
    <n v="107"/>
    <n v="94"/>
    <n v="91"/>
    <n v="90"/>
    <n v="596"/>
    <n v="262"/>
    <n v="257"/>
    <n v="254"/>
    <n v="1428"/>
    <n v="567"/>
    <n v="861"/>
    <n v="109"/>
    <n v="360"/>
    <n v="174"/>
    <n v="570"/>
    <n v="228"/>
    <n v="38"/>
    <s v="WF-4"/>
    <s v="Forest Integrated Health"/>
    <x v="10"/>
  </r>
  <r>
    <s v="WF_LTC_SNS"/>
    <x v="2"/>
    <d v="2021-12-02T00:00:00"/>
    <s v="F86038"/>
    <n v="8426"/>
    <n v="803"/>
    <n v="776"/>
    <n v="679"/>
    <n v="475"/>
    <n v="100"/>
    <n v="46"/>
    <n v="43"/>
    <n v="40"/>
    <n v="43"/>
    <n v="441"/>
    <n v="373"/>
    <n v="368"/>
    <n v="366"/>
    <n v="1091"/>
    <n v="649"/>
    <n v="442"/>
    <n v="151"/>
    <n v="347"/>
    <n v="196"/>
    <n v="449"/>
    <n v="187"/>
    <n v="73"/>
    <s v="WF-3"/>
    <s v="Leyton Collaborative"/>
    <x v="11"/>
  </r>
  <r>
    <s v="WF_LTC_SNS"/>
    <x v="2"/>
    <d v="2021-12-02T00:00:00"/>
    <s v="F86044"/>
    <n v="8310"/>
    <n v="402"/>
    <n v="369"/>
    <n v="283"/>
    <n v="216"/>
    <n v="23"/>
    <n v="33"/>
    <n v="25"/>
    <n v="19"/>
    <n v="25"/>
    <n v="325"/>
    <n v="257"/>
    <n v="254"/>
    <n v="254"/>
    <n v="750"/>
    <n v="333"/>
    <n v="417"/>
    <n v="100"/>
    <n v="149"/>
    <n v="84"/>
    <n v="259"/>
    <n v="135"/>
    <n v="24"/>
    <s v="WF-4"/>
    <s v="Forest Integrated Health"/>
    <x v="12"/>
  </r>
  <r>
    <s v="WF_LTC_SNS"/>
    <x v="2"/>
    <d v="2021-12-02T00:00:00"/>
    <s v="F86045"/>
    <n v="1687"/>
    <n v="138"/>
    <n v="135"/>
    <n v="87"/>
    <n v="111"/>
    <n v="15"/>
    <n v="19"/>
    <n v="13"/>
    <n v="10"/>
    <n v="8"/>
    <n v="84"/>
    <n v="61"/>
    <n v="61"/>
    <n v="61"/>
    <n v="266"/>
    <n v="102"/>
    <n v="164"/>
    <n v="15"/>
    <n v="69"/>
    <n v="32"/>
    <n v="77"/>
    <n v="24"/>
    <n v="6"/>
    <s v="WF-5"/>
    <s v="South Leytonstone"/>
    <x v="13"/>
  </r>
  <r>
    <s v="WF_LTC_SNS"/>
    <x v="2"/>
    <d v="2021-12-02T00:00:00"/>
    <s v="F86058"/>
    <n v="12881"/>
    <n v="784"/>
    <n v="728"/>
    <n v="468"/>
    <n v="564"/>
    <n v="68"/>
    <n v="110"/>
    <n v="68"/>
    <n v="61"/>
    <n v="64"/>
    <n v="544"/>
    <n v="174"/>
    <n v="166"/>
    <n v="165"/>
    <n v="1470"/>
    <n v="814"/>
    <n v="656"/>
    <n v="165"/>
    <n v="323"/>
    <n v="180"/>
    <n v="512"/>
    <n v="262"/>
    <n v="32"/>
    <s v="WF-7"/>
    <s v="Walthamstow West"/>
    <x v="14"/>
  </r>
  <r>
    <s v="WF_LTC_SNS"/>
    <x v="2"/>
    <d v="2021-12-02T00:00:00"/>
    <s v="F86062"/>
    <n v="5832"/>
    <n v="463"/>
    <n v="434"/>
    <n v="148"/>
    <n v="320"/>
    <n v="29"/>
    <n v="64"/>
    <n v="28"/>
    <n v="14"/>
    <n v="19"/>
    <n v="268"/>
    <n v="119"/>
    <n v="105"/>
    <n v="100"/>
    <n v="815"/>
    <n v="293"/>
    <n v="522"/>
    <n v="98"/>
    <n v="202"/>
    <n v="112"/>
    <n v="295"/>
    <n v="157"/>
    <n v="44"/>
    <s v="WF-7"/>
    <s v="Walthamstow West"/>
    <x v="15"/>
  </r>
  <r>
    <s v="WF_LTC_SNS"/>
    <x v="2"/>
    <d v="2021-12-02T00:00:00"/>
    <s v="F86078"/>
    <n v="5713"/>
    <n v="346"/>
    <n v="320"/>
    <n v="139"/>
    <n v="140"/>
    <n v="7"/>
    <n v="74"/>
    <n v="43"/>
    <n v="5"/>
    <n v="34"/>
    <n v="324"/>
    <n v="180"/>
    <n v="178"/>
    <n v="176"/>
    <n v="1087"/>
    <n v="423"/>
    <n v="664"/>
    <n v="39"/>
    <n v="282"/>
    <n v="125"/>
    <n v="478"/>
    <n v="275"/>
    <n v="8"/>
    <s v="WF-2"/>
    <s v="Chingford E4"/>
    <x v="16"/>
  </r>
  <r>
    <s v="WF_LTC_SNS"/>
    <x v="2"/>
    <d v="2021-12-02T00:00:00"/>
    <s v="F86086"/>
    <n v="4536"/>
    <n v="307"/>
    <n v="297"/>
    <n v="180"/>
    <n v="101"/>
    <n v="5"/>
    <n v="30"/>
    <n v="18"/>
    <n v="5"/>
    <n v="14"/>
    <n v="199"/>
    <n v="98"/>
    <n v="96"/>
    <n v="96"/>
    <n v="489"/>
    <n v="220"/>
    <n v="269"/>
    <n v="32"/>
    <n v="130"/>
    <n v="74"/>
    <n v="175"/>
    <n v="90"/>
    <n v="10"/>
    <s v="WF-6"/>
    <s v="Central Walthamstow"/>
    <x v="17"/>
  </r>
  <r>
    <s v="WF_LTC_SNS"/>
    <x v="2"/>
    <d v="2021-12-02T00:00:00"/>
    <s v="F86088"/>
    <n v="4101"/>
    <n v="368"/>
    <n v="352"/>
    <n v="129"/>
    <n v="139"/>
    <n v="14"/>
    <n v="35"/>
    <n v="18"/>
    <n v="0"/>
    <n v="17"/>
    <n v="211"/>
    <n v="165"/>
    <n v="160"/>
    <n v="160"/>
    <n v="673"/>
    <n v="296"/>
    <n v="377"/>
    <n v="66"/>
    <n v="130"/>
    <n v="64"/>
    <n v="214"/>
    <n v="122"/>
    <n v="18"/>
    <s v="WF-4"/>
    <s v="Forest Integrated Health"/>
    <x v="18"/>
  </r>
  <r>
    <s v="WF_LTC_SNS"/>
    <x v="2"/>
    <d v="2021-12-02T00:00:00"/>
    <s v="F86607"/>
    <n v="11665"/>
    <n v="669"/>
    <n v="631"/>
    <n v="478"/>
    <n v="240"/>
    <n v="27"/>
    <n v="88"/>
    <n v="52"/>
    <n v="37"/>
    <n v="39"/>
    <n v="676"/>
    <n v="470"/>
    <n v="457"/>
    <n v="466"/>
    <n v="1290"/>
    <n v="712"/>
    <n v="578"/>
    <n v="181"/>
    <n v="311"/>
    <n v="151"/>
    <n v="439"/>
    <n v="199"/>
    <n v="10"/>
    <s v="WF-6"/>
    <s v="Central Walthamstow"/>
    <x v="19"/>
  </r>
  <r>
    <s v="WF_LTC_SNS"/>
    <x v="2"/>
    <d v="2021-12-02T00:00:00"/>
    <s v="F86616"/>
    <n v="5948"/>
    <n v="359"/>
    <n v="332"/>
    <n v="295"/>
    <n v="118"/>
    <n v="30"/>
    <n v="66"/>
    <n v="39"/>
    <n v="25"/>
    <n v="7"/>
    <n v="393"/>
    <n v="305"/>
    <n v="300"/>
    <n v="299"/>
    <n v="831"/>
    <n v="631"/>
    <n v="200"/>
    <n v="91"/>
    <n v="237"/>
    <n v="109"/>
    <n v="388"/>
    <n v="198"/>
    <n v="9"/>
    <s v="WF-2"/>
    <s v="Chingford E4"/>
    <x v="20"/>
  </r>
  <r>
    <s v="WF_LTC_SNS"/>
    <x v="2"/>
    <d v="2021-12-02T00:00:00"/>
    <s v="F86621"/>
    <n v="5344"/>
    <n v="317"/>
    <n v="300"/>
    <n v="201"/>
    <n v="241"/>
    <n v="45"/>
    <n v="31"/>
    <n v="23"/>
    <n v="21"/>
    <n v="22"/>
    <n v="275"/>
    <n v="179"/>
    <n v="178"/>
    <n v="173"/>
    <n v="597"/>
    <n v="281"/>
    <n v="316"/>
    <n v="44"/>
    <n v="159"/>
    <n v="70"/>
    <n v="290"/>
    <n v="126"/>
    <n v="12"/>
    <s v="WF-5"/>
    <s v="South Leytonstone"/>
    <x v="21"/>
  </r>
  <r>
    <s v="WF_LTC_SNS"/>
    <x v="2"/>
    <d v="2021-12-02T00:00:00"/>
    <s v="F86625"/>
    <n v="4665"/>
    <n v="424"/>
    <n v="402"/>
    <n v="253"/>
    <n v="278"/>
    <n v="43"/>
    <n v="55"/>
    <n v="33"/>
    <n v="24"/>
    <n v="28"/>
    <n v="239"/>
    <n v="132"/>
    <n v="127"/>
    <n v="122"/>
    <n v="688"/>
    <n v="294"/>
    <n v="394"/>
    <n v="131"/>
    <n v="203"/>
    <n v="91"/>
    <n v="286"/>
    <n v="147"/>
    <n v="4"/>
    <s v="WF-5"/>
    <s v="South Leytonstone"/>
    <x v="22"/>
  </r>
  <r>
    <s v="WF_LTC_SNS"/>
    <x v="2"/>
    <d v="2021-12-02T00:00:00"/>
    <s v="F86626"/>
    <n v="5383"/>
    <n v="302"/>
    <n v="288"/>
    <n v="128"/>
    <n v="214"/>
    <n v="17"/>
    <n v="25"/>
    <n v="10"/>
    <n v="3"/>
    <n v="7"/>
    <n v="193"/>
    <n v="92"/>
    <n v="75"/>
    <n v="65"/>
    <n v="543"/>
    <n v="240"/>
    <n v="303"/>
    <n v="57"/>
    <n v="115"/>
    <n v="52"/>
    <n v="169"/>
    <n v="89"/>
    <n v="13"/>
    <s v="WF-1"/>
    <s v="Chingford/ Walthamstow"/>
    <x v="23"/>
  </r>
  <r>
    <s v="WF_LTC_SNS"/>
    <x v="2"/>
    <d v="2021-12-02T00:00:00"/>
    <s v="F86627"/>
    <n v="10617"/>
    <n v="814"/>
    <n v="766"/>
    <n v="426"/>
    <n v="229"/>
    <n v="16"/>
    <n v="226"/>
    <n v="189"/>
    <n v="71"/>
    <n v="159"/>
    <n v="709"/>
    <n v="435"/>
    <n v="415"/>
    <n v="419"/>
    <n v="1836"/>
    <n v="949"/>
    <n v="887"/>
    <n v="301"/>
    <n v="588"/>
    <n v="257"/>
    <n v="833"/>
    <n v="383"/>
    <n v="88"/>
    <s v="WF-2"/>
    <s v="Chingford E4"/>
    <x v="24"/>
  </r>
  <r>
    <s v="WF_LTC_SNS"/>
    <x v="2"/>
    <d v="2021-12-02T00:00:00"/>
    <s v="F86644"/>
    <n v="7266"/>
    <n v="529"/>
    <n v="507"/>
    <n v="233"/>
    <n v="367"/>
    <n v="23"/>
    <n v="93"/>
    <n v="57"/>
    <n v="46"/>
    <n v="54"/>
    <n v="360"/>
    <n v="146"/>
    <n v="133"/>
    <n v="126"/>
    <n v="1102"/>
    <n v="426"/>
    <n v="676"/>
    <n v="129"/>
    <n v="261"/>
    <n v="123"/>
    <n v="406"/>
    <n v="181"/>
    <n v="14"/>
    <s v="WF-6"/>
    <s v="Central Walthamstow"/>
    <x v="25"/>
  </r>
  <r>
    <s v="WF_LTC_SNS"/>
    <x v="2"/>
    <d v="2021-12-02T00:00:00"/>
    <s v="F86650"/>
    <n v="6371"/>
    <n v="513"/>
    <n v="485"/>
    <n v="303"/>
    <n v="375"/>
    <n v="44"/>
    <n v="55"/>
    <n v="26"/>
    <n v="18"/>
    <n v="21"/>
    <n v="339"/>
    <n v="227"/>
    <n v="227"/>
    <n v="226"/>
    <n v="696"/>
    <n v="317"/>
    <n v="379"/>
    <n v="106"/>
    <n v="196"/>
    <n v="93"/>
    <n v="318"/>
    <n v="141"/>
    <n v="21"/>
    <s v="WF-4"/>
    <s v="Forest Integrated Health"/>
    <x v="26"/>
  </r>
  <r>
    <s v="WF_LTC_SNS"/>
    <x v="2"/>
    <d v="2021-12-02T00:00:00"/>
    <s v="F86664"/>
    <n v="6516"/>
    <n v="417"/>
    <n v="379"/>
    <n v="226"/>
    <n v="279"/>
    <n v="30"/>
    <n v="97"/>
    <n v="81"/>
    <n v="55"/>
    <n v="74"/>
    <n v="326"/>
    <n v="237"/>
    <n v="230"/>
    <n v="225"/>
    <n v="869"/>
    <n v="492"/>
    <n v="377"/>
    <n v="19"/>
    <n v="263"/>
    <n v="87"/>
    <n v="391"/>
    <n v="202"/>
    <n v="38"/>
    <s v="WF-1"/>
    <s v="Chingford/ Walthamstow"/>
    <x v="27"/>
  </r>
  <r>
    <s v="WF_LTC_SNS"/>
    <x v="2"/>
    <d v="2021-12-02T00:00:00"/>
    <s v="F86666"/>
    <n v="11767"/>
    <n v="867"/>
    <n v="828"/>
    <n v="499"/>
    <n v="364"/>
    <n v="32"/>
    <n v="121"/>
    <n v="95"/>
    <n v="78"/>
    <n v="87"/>
    <n v="569"/>
    <n v="418"/>
    <n v="405"/>
    <n v="416"/>
    <n v="1794"/>
    <n v="934"/>
    <n v="860"/>
    <n v="332"/>
    <n v="314"/>
    <n v="167"/>
    <n v="424"/>
    <n v="225"/>
    <n v="31"/>
    <s v="WF-5"/>
    <s v="South Leytonstone"/>
    <x v="28"/>
  </r>
  <r>
    <s v="WF_LTC_SNS"/>
    <x v="2"/>
    <d v="2021-12-02T00:00:00"/>
    <s v="F86679"/>
    <n v="4579"/>
    <n v="242"/>
    <n v="225"/>
    <n v="213"/>
    <n v="151"/>
    <n v="46"/>
    <n v="30"/>
    <n v="26"/>
    <n v="26"/>
    <n v="24"/>
    <n v="197"/>
    <n v="155"/>
    <n v="150"/>
    <n v="147"/>
    <n v="463"/>
    <n v="267"/>
    <n v="196"/>
    <n v="43"/>
    <n v="84"/>
    <n v="48"/>
    <n v="133"/>
    <n v="75"/>
    <n v="16"/>
    <s v="WF-7"/>
    <s v="Walthamstow West"/>
    <x v="29"/>
  </r>
  <r>
    <s v="WF_LTC_SNS"/>
    <x v="2"/>
    <d v="2021-12-02T00:00:00"/>
    <s v="F86689"/>
    <n v="3252"/>
    <n v="126"/>
    <n v="113"/>
    <n v="86"/>
    <n v="70"/>
    <n v="14"/>
    <n v="42"/>
    <n v="37"/>
    <n v="7"/>
    <n v="16"/>
    <n v="190"/>
    <n v="131"/>
    <n v="129"/>
    <n v="125"/>
    <n v="296"/>
    <n v="205"/>
    <n v="91"/>
    <n v="35"/>
    <n v="75"/>
    <n v="38"/>
    <n v="114"/>
    <n v="54"/>
    <n v="21"/>
    <s v="WF-1"/>
    <s v="Chingford/ Walthamstow"/>
    <x v="30"/>
  </r>
  <r>
    <s v="WF_LTC_SNS"/>
    <x v="2"/>
    <d v="2021-12-02T00:00:00"/>
    <s v="F86696"/>
    <n v="5439"/>
    <n v="357"/>
    <n v="342"/>
    <n v="275"/>
    <n v="80"/>
    <n v="5"/>
    <n v="24"/>
    <n v="18"/>
    <n v="15"/>
    <n v="16"/>
    <n v="236"/>
    <n v="209"/>
    <n v="207"/>
    <n v="207"/>
    <n v="582"/>
    <n v="348"/>
    <n v="234"/>
    <n v="117"/>
    <n v="145"/>
    <n v="89"/>
    <n v="212"/>
    <n v="103"/>
    <n v="13"/>
    <s v="WF-4"/>
    <s v="Forest Integrated Health"/>
    <x v="31"/>
  </r>
  <r>
    <s v="WF_LTC_SNS"/>
    <x v="2"/>
    <d v="2021-12-02T00:00:00"/>
    <s v="F86700"/>
    <n v="3074"/>
    <n v="225"/>
    <n v="210"/>
    <n v="149"/>
    <n v="65"/>
    <n v="7"/>
    <n v="110"/>
    <n v="96"/>
    <n v="65"/>
    <n v="28"/>
    <n v="226"/>
    <n v="170"/>
    <n v="168"/>
    <n v="169"/>
    <n v="751"/>
    <n v="532"/>
    <n v="219"/>
    <n v="38"/>
    <n v="210"/>
    <n v="70"/>
    <n v="272"/>
    <n v="168"/>
    <n v="33"/>
    <s v="WF-1"/>
    <s v="Chingford/ Walthamstow"/>
    <x v="32"/>
  </r>
  <r>
    <s v="WF_LTC_SNS"/>
    <x v="2"/>
    <d v="2021-12-02T00:00:00"/>
    <s v="F86701"/>
    <n v="3012"/>
    <n v="262"/>
    <n v="250"/>
    <n v="162"/>
    <n v="181"/>
    <n v="14"/>
    <n v="24"/>
    <n v="21"/>
    <n v="17"/>
    <n v="20"/>
    <n v="135"/>
    <n v="105"/>
    <n v="105"/>
    <n v="105"/>
    <n v="456"/>
    <n v="240"/>
    <n v="216"/>
    <n v="90"/>
    <n v="89"/>
    <n v="47"/>
    <n v="128"/>
    <n v="83"/>
    <n v="3"/>
    <s v="WF-5"/>
    <s v="South Leytonstone"/>
    <x v="33"/>
  </r>
  <r>
    <s v="WF_LTC_SNS"/>
    <x v="2"/>
    <d v="2021-12-02T00:00:00"/>
    <s v="F86705"/>
    <n v="2905"/>
    <n v="220"/>
    <n v="211"/>
    <n v="173"/>
    <n v="133"/>
    <n v="14"/>
    <n v="27"/>
    <n v="21"/>
    <n v="19"/>
    <n v="11"/>
    <n v="97"/>
    <n v="75"/>
    <n v="75"/>
    <n v="73"/>
    <n v="338"/>
    <n v="183"/>
    <n v="155"/>
    <n v="44"/>
    <n v="84"/>
    <n v="41"/>
    <n v="122"/>
    <n v="49"/>
    <n v="4"/>
    <s v="WF-5"/>
    <s v="South Leytonstone"/>
    <x v="34"/>
  </r>
  <r>
    <s v="WF_LTC_SNS"/>
    <x v="2"/>
    <d v="2021-12-02T00:00:00"/>
    <s v="F86708"/>
    <n v="2235"/>
    <n v="214"/>
    <n v="203"/>
    <n v="155"/>
    <n v="52"/>
    <n v="5"/>
    <n v="17"/>
    <n v="10"/>
    <n v="9"/>
    <n v="10"/>
    <n v="158"/>
    <n v="132"/>
    <n v="131"/>
    <n v="130"/>
    <n v="388"/>
    <n v="166"/>
    <n v="222"/>
    <n v="64"/>
    <n v="87"/>
    <n v="42"/>
    <n v="132"/>
    <n v="59"/>
    <n v="18"/>
    <s v="WF-6"/>
    <s v="Central Walthamstow"/>
    <x v="35"/>
  </r>
  <r>
    <s v="WF_LTC_SNS"/>
    <x v="2"/>
    <d v="2021-12-02T00:00:00"/>
    <s v="F86712"/>
    <n v="2790"/>
    <n v="208"/>
    <n v="194"/>
    <n v="71"/>
    <n v="161"/>
    <n v="25"/>
    <n v="12"/>
    <n v="10"/>
    <n v="8"/>
    <n v="10"/>
    <n v="99"/>
    <n v="72"/>
    <n v="72"/>
    <n v="71"/>
    <n v="335"/>
    <n v="179"/>
    <n v="156"/>
    <n v="63"/>
    <n v="64"/>
    <n v="31"/>
    <n v="135"/>
    <n v="56"/>
    <n v="5"/>
    <s v="WF-4"/>
    <s v="Forest Integrated Health"/>
    <x v="36"/>
  </r>
  <r>
    <s v="WF_LTC_SNS"/>
    <x v="2"/>
    <d v="2021-12-02T00:00:00"/>
    <s v="Y01291"/>
    <n v="7046"/>
    <n v="495"/>
    <n v="465"/>
    <n v="355"/>
    <n v="137"/>
    <n v="9"/>
    <n v="111"/>
    <n v="84"/>
    <n v="31"/>
    <n v="46"/>
    <n v="465"/>
    <n v="334"/>
    <n v="324"/>
    <n v="322"/>
    <n v="1241"/>
    <n v="791"/>
    <n v="450"/>
    <n v="229"/>
    <n v="323"/>
    <n v="158"/>
    <n v="510"/>
    <n v="215"/>
    <n v="19"/>
    <s v="WF-2"/>
    <s v="Chingford E4"/>
    <x v="37"/>
  </r>
  <r>
    <s v="WF_LTC_SNS"/>
    <x v="2"/>
    <d v="2021-12-02T00:00:00"/>
    <s v="Y01839"/>
    <n v="4870"/>
    <n v="413"/>
    <n v="388"/>
    <n v="164"/>
    <n v="259"/>
    <n v="21"/>
    <n v="78"/>
    <n v="29"/>
    <n v="14"/>
    <n v="16"/>
    <n v="321"/>
    <n v="103"/>
    <n v="102"/>
    <n v="98"/>
    <n v="715"/>
    <n v="250"/>
    <n v="465"/>
    <n v="50"/>
    <n v="164"/>
    <n v="86"/>
    <n v="266"/>
    <n v="97"/>
    <n v="30"/>
    <s v="WF-1"/>
    <s v="Chingford/ Walthamstow"/>
    <x v="38"/>
  </r>
  <r>
    <s v="WF_LTC_SNS"/>
    <x v="3"/>
    <d v="2022-01-04T00:00:00"/>
    <s v="F86001"/>
    <n v="6214"/>
    <n v="545"/>
    <n v="515"/>
    <n v="355"/>
    <n v="361"/>
    <n v="53"/>
    <n v="81"/>
    <n v="57"/>
    <n v="33"/>
    <n v="35"/>
    <n v="335"/>
    <n v="232"/>
    <n v="220"/>
    <n v="225"/>
    <n v="889"/>
    <n v="436"/>
    <n v="453"/>
    <n v="106"/>
    <n v="233"/>
    <n v="104"/>
    <n v="326"/>
    <n v="145"/>
    <n v="9"/>
    <s v="WF-6"/>
    <s v="Central Walthamstow"/>
    <x v="5"/>
  </r>
  <r>
    <s v="WF_LTC_SNS"/>
    <x v="3"/>
    <d v="2022-01-04T00:00:00"/>
    <s v="F86005"/>
    <n v="7275"/>
    <n v="358"/>
    <n v="329"/>
    <n v="217"/>
    <n v="234"/>
    <n v="39"/>
    <n v="105"/>
    <n v="90"/>
    <n v="16"/>
    <n v="70"/>
    <n v="377"/>
    <n v="198"/>
    <n v="191"/>
    <n v="194"/>
    <n v="808"/>
    <n v="424"/>
    <n v="384"/>
    <n v="114"/>
    <n v="152"/>
    <n v="80"/>
    <n v="267"/>
    <n v="141"/>
    <n v="17"/>
    <s v="WF-1"/>
    <s v="Chingford/ Walthamstow"/>
    <x v="6"/>
  </r>
  <r>
    <s v="WF_LTC_SNS"/>
    <x v="3"/>
    <d v="2022-01-04T00:00:00"/>
    <s v="F86006"/>
    <n v="5314"/>
    <n v="438"/>
    <n v="417"/>
    <n v="323"/>
    <n v="287"/>
    <n v="36"/>
    <n v="60"/>
    <n v="33"/>
    <n v="24"/>
    <n v="30"/>
    <n v="245"/>
    <n v="125"/>
    <n v="122"/>
    <n v="122"/>
    <n v="849"/>
    <n v="349"/>
    <n v="500"/>
    <n v="192"/>
    <n v="169"/>
    <n v="101"/>
    <n v="299"/>
    <n v="136"/>
    <n v="20"/>
    <s v="WF-7"/>
    <s v="Walthamstow West"/>
    <x v="7"/>
  </r>
  <r>
    <s v="WF_LTC_SNS"/>
    <x v="3"/>
    <d v="2022-01-04T00:00:00"/>
    <s v="F86011"/>
    <n v="7783"/>
    <n v="732"/>
    <n v="690"/>
    <n v="608"/>
    <n v="446"/>
    <n v="63"/>
    <n v="90"/>
    <n v="84"/>
    <n v="76"/>
    <n v="76"/>
    <n v="337"/>
    <n v="308"/>
    <n v="303"/>
    <n v="305"/>
    <n v="1128"/>
    <n v="606"/>
    <n v="522"/>
    <n v="194"/>
    <n v="350"/>
    <n v="199"/>
    <n v="503"/>
    <n v="228"/>
    <n v="69"/>
    <s v="WF-3"/>
    <s v="Leyton Collaborative"/>
    <x v="8"/>
  </r>
  <r>
    <s v="WF_LTC_SNS"/>
    <x v="3"/>
    <d v="2022-01-04T00:00:00"/>
    <s v="F86030"/>
    <n v="6273"/>
    <n v="561"/>
    <n v="543"/>
    <n v="494"/>
    <n v="453"/>
    <n v="138"/>
    <n v="38"/>
    <n v="33"/>
    <n v="28"/>
    <n v="32"/>
    <n v="355"/>
    <n v="288"/>
    <n v="287"/>
    <n v="280"/>
    <n v="735"/>
    <n v="483"/>
    <n v="252"/>
    <n v="97"/>
    <n v="201"/>
    <n v="129"/>
    <n v="326"/>
    <n v="159"/>
    <n v="24"/>
    <s v="WF-7"/>
    <s v="Walthamstow West"/>
    <x v="9"/>
  </r>
  <r>
    <s v="WF_LTC_SNS"/>
    <x v="3"/>
    <d v="2022-01-04T00:00:00"/>
    <s v="F86036"/>
    <n v="11714"/>
    <n v="786"/>
    <n v="722"/>
    <n v="439"/>
    <n v="526"/>
    <n v="66"/>
    <n v="106"/>
    <n v="94"/>
    <n v="90"/>
    <n v="91"/>
    <n v="602"/>
    <n v="353"/>
    <n v="350"/>
    <n v="347"/>
    <n v="1429"/>
    <n v="650"/>
    <n v="779"/>
    <n v="106"/>
    <n v="362"/>
    <n v="175"/>
    <n v="569"/>
    <n v="225"/>
    <n v="32"/>
    <s v="WF-4"/>
    <s v="Forest Integrated Health"/>
    <x v="10"/>
  </r>
  <r>
    <s v="WF_LTC_SNS"/>
    <x v="3"/>
    <d v="2022-01-04T00:00:00"/>
    <s v="F86038"/>
    <n v="8428"/>
    <n v="805"/>
    <n v="776"/>
    <n v="676"/>
    <n v="505"/>
    <n v="105"/>
    <n v="46"/>
    <n v="44"/>
    <n v="40"/>
    <n v="43"/>
    <n v="443"/>
    <n v="365"/>
    <n v="360"/>
    <n v="355"/>
    <n v="1089"/>
    <n v="657"/>
    <n v="432"/>
    <n v="145"/>
    <n v="349"/>
    <n v="196"/>
    <n v="446"/>
    <n v="190"/>
    <n v="69"/>
    <s v="WF-3"/>
    <s v="Leyton Collaborative"/>
    <x v="11"/>
  </r>
  <r>
    <s v="WF_LTC_SNS"/>
    <x v="3"/>
    <d v="2022-01-04T00:00:00"/>
    <s v="F86044"/>
    <n v="8394"/>
    <n v="406"/>
    <n v="373"/>
    <n v="283"/>
    <n v="231"/>
    <n v="26"/>
    <n v="33"/>
    <n v="25"/>
    <n v="20"/>
    <n v="25"/>
    <n v="332"/>
    <n v="277"/>
    <n v="273"/>
    <n v="275"/>
    <n v="753"/>
    <n v="332"/>
    <n v="421"/>
    <n v="89"/>
    <n v="148"/>
    <n v="84"/>
    <n v="262"/>
    <n v="140"/>
    <n v="23"/>
    <s v="WF-4"/>
    <s v="Forest Integrated Health"/>
    <x v="12"/>
  </r>
  <r>
    <s v="WF_LTC_SNS"/>
    <x v="3"/>
    <d v="2022-01-04T00:00:00"/>
    <s v="F86045"/>
    <n v="1686"/>
    <n v="136"/>
    <n v="133"/>
    <n v="113"/>
    <n v="106"/>
    <n v="23"/>
    <n v="19"/>
    <n v="13"/>
    <n v="10"/>
    <n v="8"/>
    <n v="84"/>
    <n v="61"/>
    <n v="61"/>
    <n v="61"/>
    <n v="261"/>
    <n v="131"/>
    <n v="130"/>
    <n v="20"/>
    <n v="69"/>
    <n v="32"/>
    <n v="80"/>
    <n v="25"/>
    <n v="6"/>
    <s v="WF-5"/>
    <s v="South Leytonstone"/>
    <x v="13"/>
  </r>
  <r>
    <s v="WF_LTC_SNS"/>
    <x v="3"/>
    <d v="2022-01-04T00:00:00"/>
    <s v="F86058"/>
    <n v="12947"/>
    <n v="777"/>
    <n v="721"/>
    <n v="468"/>
    <n v="566"/>
    <n v="70"/>
    <n v="111"/>
    <n v="83"/>
    <n v="70"/>
    <n v="77"/>
    <n v="555"/>
    <n v="207"/>
    <n v="199"/>
    <n v="195"/>
    <n v="1468"/>
    <n v="834"/>
    <n v="634"/>
    <n v="173"/>
    <n v="323"/>
    <n v="180"/>
    <n v="511"/>
    <n v="264"/>
    <n v="31"/>
    <s v="WF-7"/>
    <s v="Walthamstow West"/>
    <x v="14"/>
  </r>
  <r>
    <s v="WF_LTC_SNS"/>
    <x v="3"/>
    <d v="2022-01-04T00:00:00"/>
    <s v="F86062"/>
    <n v="5793"/>
    <n v="460"/>
    <n v="432"/>
    <n v="155"/>
    <n v="325"/>
    <n v="27"/>
    <n v="64"/>
    <n v="28"/>
    <n v="14"/>
    <n v="20"/>
    <n v="274"/>
    <n v="120"/>
    <n v="102"/>
    <n v="100"/>
    <n v="810"/>
    <n v="299"/>
    <n v="511"/>
    <n v="94"/>
    <n v="203"/>
    <n v="115"/>
    <n v="292"/>
    <n v="147"/>
    <n v="44"/>
    <s v="WF-7"/>
    <s v="Walthamstow West"/>
    <x v="15"/>
  </r>
  <r>
    <s v="WF_LTC_SNS"/>
    <x v="3"/>
    <d v="2022-01-04T00:00:00"/>
    <s v="F86078"/>
    <n v="5732"/>
    <n v="346"/>
    <n v="320"/>
    <n v="142"/>
    <n v="140"/>
    <n v="8"/>
    <n v="73"/>
    <n v="39"/>
    <n v="2"/>
    <n v="31"/>
    <n v="325"/>
    <n v="198"/>
    <n v="196"/>
    <n v="196"/>
    <n v="1082"/>
    <n v="405"/>
    <n v="677"/>
    <n v="48"/>
    <n v="283"/>
    <n v="126"/>
    <n v="478"/>
    <n v="279"/>
    <n v="12"/>
    <s v="WF-2"/>
    <s v="Chingford E4"/>
    <x v="16"/>
  </r>
  <r>
    <s v="WF_LTC_SNS"/>
    <x v="3"/>
    <d v="2022-01-04T00:00:00"/>
    <s v="F86086"/>
    <n v="4536"/>
    <n v="309"/>
    <n v="299"/>
    <n v="184"/>
    <n v="107"/>
    <n v="4"/>
    <n v="30"/>
    <n v="18"/>
    <n v="5"/>
    <n v="14"/>
    <n v="203"/>
    <n v="106"/>
    <n v="104"/>
    <n v="104"/>
    <n v="490"/>
    <n v="219"/>
    <n v="271"/>
    <n v="36"/>
    <n v="131"/>
    <n v="73"/>
    <n v="178"/>
    <n v="85"/>
    <n v="8"/>
    <s v="WF-6"/>
    <s v="Central Walthamstow"/>
    <x v="17"/>
  </r>
  <r>
    <s v="WF_LTC_SNS"/>
    <x v="3"/>
    <d v="2022-01-04T00:00:00"/>
    <s v="F86088"/>
    <n v="4118"/>
    <n v="371"/>
    <n v="355"/>
    <n v="165"/>
    <n v="130"/>
    <n v="17"/>
    <n v="35"/>
    <n v="18"/>
    <n v="0"/>
    <n v="17"/>
    <n v="215"/>
    <n v="177"/>
    <n v="170"/>
    <n v="171"/>
    <n v="673"/>
    <n v="310"/>
    <n v="363"/>
    <n v="60"/>
    <n v="131"/>
    <n v="66"/>
    <n v="215"/>
    <n v="123"/>
    <n v="17"/>
    <s v="WF-4"/>
    <s v="Forest Integrated Health"/>
    <x v="18"/>
  </r>
  <r>
    <s v="WF_LTC_SNS"/>
    <x v="3"/>
    <d v="2022-01-04T00:00:00"/>
    <s v="F86607"/>
    <n v="11749"/>
    <n v="677"/>
    <n v="639"/>
    <n v="483"/>
    <n v="235"/>
    <n v="25"/>
    <n v="87"/>
    <n v="56"/>
    <n v="39"/>
    <n v="40"/>
    <n v="677"/>
    <n v="462"/>
    <n v="449"/>
    <n v="457"/>
    <n v="1292"/>
    <n v="705"/>
    <n v="587"/>
    <n v="185"/>
    <n v="315"/>
    <n v="153"/>
    <n v="441"/>
    <n v="200"/>
    <n v="9"/>
    <s v="WF-6"/>
    <s v="Central Walthamstow"/>
    <x v="19"/>
  </r>
  <r>
    <s v="WF_LTC_SNS"/>
    <x v="3"/>
    <d v="2022-01-04T00:00:00"/>
    <s v="F86616"/>
    <n v="5987"/>
    <n v="366"/>
    <n v="340"/>
    <n v="310"/>
    <n v="124"/>
    <n v="32"/>
    <n v="67"/>
    <n v="46"/>
    <n v="26"/>
    <n v="10"/>
    <n v="399"/>
    <n v="300"/>
    <n v="293"/>
    <n v="292"/>
    <n v="841"/>
    <n v="637"/>
    <n v="204"/>
    <n v="96"/>
    <n v="240"/>
    <n v="112"/>
    <n v="390"/>
    <n v="199"/>
    <n v="9"/>
    <s v="WF-2"/>
    <s v="Chingford E4"/>
    <x v="20"/>
  </r>
  <r>
    <s v="WF_LTC_SNS"/>
    <x v="3"/>
    <d v="2022-01-04T00:00:00"/>
    <s v="F86621"/>
    <n v="5310"/>
    <n v="319"/>
    <n v="302"/>
    <n v="179"/>
    <n v="243"/>
    <n v="48"/>
    <n v="29"/>
    <n v="20"/>
    <n v="20"/>
    <n v="20"/>
    <n v="268"/>
    <n v="169"/>
    <n v="168"/>
    <n v="166"/>
    <n v="595"/>
    <n v="285"/>
    <n v="310"/>
    <n v="46"/>
    <n v="158"/>
    <n v="70"/>
    <n v="286"/>
    <n v="121"/>
    <n v="10"/>
    <s v="WF-5"/>
    <s v="South Leytonstone"/>
    <x v="21"/>
  </r>
  <r>
    <s v="WF_LTC_SNS"/>
    <x v="3"/>
    <d v="2022-01-04T00:00:00"/>
    <s v="F86625"/>
    <n v="4675"/>
    <n v="429"/>
    <n v="407"/>
    <n v="261"/>
    <n v="270"/>
    <n v="40"/>
    <n v="55"/>
    <n v="44"/>
    <n v="27"/>
    <n v="39"/>
    <n v="236"/>
    <n v="147"/>
    <n v="141"/>
    <n v="140"/>
    <n v="683"/>
    <n v="295"/>
    <n v="388"/>
    <n v="128"/>
    <n v="201"/>
    <n v="90"/>
    <n v="284"/>
    <n v="147"/>
    <n v="5"/>
    <s v="WF-5"/>
    <s v="South Leytonstone"/>
    <x v="22"/>
  </r>
  <r>
    <s v="WF_LTC_SNS"/>
    <x v="3"/>
    <d v="2022-01-04T00:00:00"/>
    <s v="F86626"/>
    <n v="5406"/>
    <n v="305"/>
    <n v="291"/>
    <n v="121"/>
    <n v="216"/>
    <n v="15"/>
    <n v="25"/>
    <n v="11"/>
    <n v="3"/>
    <n v="7"/>
    <n v="191"/>
    <n v="88"/>
    <n v="69"/>
    <n v="58"/>
    <n v="546"/>
    <n v="235"/>
    <n v="311"/>
    <n v="57"/>
    <n v="116"/>
    <n v="54"/>
    <n v="171"/>
    <n v="90"/>
    <n v="0"/>
    <s v="WF-1"/>
    <s v="Chingford/ Walthamstow"/>
    <x v="23"/>
  </r>
  <r>
    <s v="WF_LTC_SNS"/>
    <x v="3"/>
    <d v="2022-01-04T00:00:00"/>
    <s v="F86627"/>
    <n v="10597"/>
    <n v="813"/>
    <n v="766"/>
    <n v="426"/>
    <n v="235"/>
    <n v="17"/>
    <n v="223"/>
    <n v="188"/>
    <n v="71"/>
    <n v="159"/>
    <n v="719"/>
    <n v="456"/>
    <n v="435"/>
    <n v="443"/>
    <n v="1834"/>
    <n v="954"/>
    <n v="880"/>
    <n v="304"/>
    <n v="587"/>
    <n v="254"/>
    <n v="826"/>
    <n v="380"/>
    <n v="89"/>
    <s v="WF-2"/>
    <s v="Chingford E4"/>
    <x v="24"/>
  </r>
  <r>
    <s v="WF_LTC_SNS"/>
    <x v="3"/>
    <d v="2022-01-04T00:00:00"/>
    <s v="F86644"/>
    <n v="7206"/>
    <n v="524"/>
    <n v="502"/>
    <n v="240"/>
    <n v="373"/>
    <n v="25"/>
    <n v="92"/>
    <n v="57"/>
    <n v="47"/>
    <n v="54"/>
    <n v="364"/>
    <n v="141"/>
    <n v="129"/>
    <n v="122"/>
    <n v="1096"/>
    <n v="439"/>
    <n v="657"/>
    <n v="139"/>
    <n v="257"/>
    <n v="124"/>
    <n v="408"/>
    <n v="186"/>
    <n v="15"/>
    <s v="WF-6"/>
    <s v="Central Walthamstow"/>
    <x v="25"/>
  </r>
  <r>
    <s v="WF_LTC_SNS"/>
    <x v="3"/>
    <d v="2022-01-04T00:00:00"/>
    <s v="F86650"/>
    <n v="6368"/>
    <n v="514"/>
    <n v="487"/>
    <n v="310"/>
    <n v="365"/>
    <n v="44"/>
    <n v="56"/>
    <n v="29"/>
    <n v="20"/>
    <n v="22"/>
    <n v="339"/>
    <n v="249"/>
    <n v="249"/>
    <n v="248"/>
    <n v="695"/>
    <n v="315"/>
    <n v="380"/>
    <n v="106"/>
    <n v="196"/>
    <n v="94"/>
    <n v="322"/>
    <n v="137"/>
    <n v="18"/>
    <s v="WF-4"/>
    <s v="Forest Integrated Health"/>
    <x v="26"/>
  </r>
  <r>
    <s v="WF_LTC_SNS"/>
    <x v="3"/>
    <d v="2022-01-04T00:00:00"/>
    <s v="F86664"/>
    <n v="6526"/>
    <n v="414"/>
    <n v="377"/>
    <n v="216"/>
    <n v="281"/>
    <n v="28"/>
    <n v="97"/>
    <n v="79"/>
    <n v="51"/>
    <n v="71"/>
    <n v="323"/>
    <n v="232"/>
    <n v="225"/>
    <n v="220"/>
    <n v="866"/>
    <n v="475"/>
    <n v="391"/>
    <n v="13"/>
    <n v="262"/>
    <n v="87"/>
    <n v="387"/>
    <n v="201"/>
    <n v="37"/>
    <s v="WF-1"/>
    <s v="Chingford/ Walthamstow"/>
    <x v="27"/>
  </r>
  <r>
    <s v="WF_LTC_SNS"/>
    <x v="3"/>
    <d v="2022-01-04T00:00:00"/>
    <s v="F86666"/>
    <n v="11808"/>
    <n v="870"/>
    <n v="831"/>
    <n v="535"/>
    <n v="345"/>
    <n v="34"/>
    <n v="122"/>
    <n v="105"/>
    <n v="89"/>
    <n v="97"/>
    <n v="568"/>
    <n v="418"/>
    <n v="405"/>
    <n v="412"/>
    <n v="1802"/>
    <n v="951"/>
    <n v="851"/>
    <n v="316"/>
    <n v="314"/>
    <n v="167"/>
    <n v="423"/>
    <n v="225"/>
    <n v="44"/>
    <s v="WF-5"/>
    <s v="South Leytonstone"/>
    <x v="28"/>
  </r>
  <r>
    <s v="WF_LTC_SNS"/>
    <x v="3"/>
    <d v="2022-01-04T00:00:00"/>
    <s v="F86679"/>
    <n v="4639"/>
    <n v="243"/>
    <n v="226"/>
    <n v="214"/>
    <n v="153"/>
    <n v="46"/>
    <n v="30"/>
    <n v="28"/>
    <n v="28"/>
    <n v="25"/>
    <n v="205"/>
    <n v="161"/>
    <n v="156"/>
    <n v="154"/>
    <n v="463"/>
    <n v="272"/>
    <n v="191"/>
    <n v="39"/>
    <n v="84"/>
    <n v="49"/>
    <n v="138"/>
    <n v="78"/>
    <n v="17"/>
    <s v="WF-7"/>
    <s v="Walthamstow West"/>
    <x v="29"/>
  </r>
  <r>
    <s v="WF_LTC_SNS"/>
    <x v="3"/>
    <d v="2022-01-04T00:00:00"/>
    <s v="F86689"/>
    <n v="3242"/>
    <n v="126"/>
    <n v="113"/>
    <n v="92"/>
    <n v="71"/>
    <n v="13"/>
    <n v="42"/>
    <n v="36"/>
    <n v="5"/>
    <n v="16"/>
    <n v="189"/>
    <n v="125"/>
    <n v="119"/>
    <n v="116"/>
    <n v="296"/>
    <n v="196"/>
    <n v="100"/>
    <n v="38"/>
    <n v="78"/>
    <n v="41"/>
    <n v="110"/>
    <n v="53"/>
    <n v="12"/>
    <s v="WF-1"/>
    <s v="Chingford/ Walthamstow"/>
    <x v="30"/>
  </r>
  <r>
    <s v="WF_LTC_SNS"/>
    <x v="3"/>
    <d v="2022-01-04T00:00:00"/>
    <s v="F86696"/>
    <n v="5508"/>
    <n v="356"/>
    <n v="341"/>
    <n v="277"/>
    <n v="78"/>
    <n v="6"/>
    <n v="25"/>
    <n v="20"/>
    <n v="15"/>
    <n v="20"/>
    <n v="239"/>
    <n v="206"/>
    <n v="204"/>
    <n v="204"/>
    <n v="581"/>
    <n v="349"/>
    <n v="232"/>
    <n v="109"/>
    <n v="145"/>
    <n v="90"/>
    <n v="210"/>
    <n v="103"/>
    <n v="11"/>
    <s v="WF-4"/>
    <s v="Forest Integrated Health"/>
    <x v="31"/>
  </r>
  <r>
    <s v="WF_LTC_SNS"/>
    <x v="3"/>
    <d v="2022-01-04T00:00:00"/>
    <s v="F86700"/>
    <n v="3073"/>
    <n v="224"/>
    <n v="209"/>
    <n v="162"/>
    <n v="52"/>
    <n v="9"/>
    <n v="109"/>
    <n v="95"/>
    <n v="64"/>
    <n v="27"/>
    <n v="228"/>
    <n v="177"/>
    <n v="174"/>
    <n v="173"/>
    <n v="750"/>
    <n v="548"/>
    <n v="202"/>
    <n v="40"/>
    <n v="210"/>
    <n v="70"/>
    <n v="269"/>
    <n v="164"/>
    <n v="33"/>
    <s v="WF-1"/>
    <s v="Chingford/ Walthamstow"/>
    <x v="32"/>
  </r>
  <r>
    <s v="WF_LTC_SNS"/>
    <x v="3"/>
    <d v="2022-01-04T00:00:00"/>
    <s v="F86701"/>
    <n v="3016"/>
    <n v="259"/>
    <n v="247"/>
    <n v="160"/>
    <n v="187"/>
    <n v="16"/>
    <n v="24"/>
    <n v="19"/>
    <n v="16"/>
    <n v="19"/>
    <n v="133"/>
    <n v="127"/>
    <n v="97"/>
    <n v="97"/>
    <n v="455"/>
    <n v="259"/>
    <n v="196"/>
    <n v="92"/>
    <n v="91"/>
    <n v="47"/>
    <n v="130"/>
    <n v="81"/>
    <n v="2"/>
    <s v="WF-5"/>
    <s v="South Leytonstone"/>
    <x v="33"/>
  </r>
  <r>
    <s v="WF_LTC_SNS"/>
    <x v="3"/>
    <d v="2022-01-04T00:00:00"/>
    <s v="F86705"/>
    <n v="2923"/>
    <n v="220"/>
    <n v="210"/>
    <n v="176"/>
    <n v="135"/>
    <n v="13"/>
    <n v="27"/>
    <n v="21"/>
    <n v="19"/>
    <n v="12"/>
    <n v="99"/>
    <n v="89"/>
    <n v="88"/>
    <n v="87"/>
    <n v="339"/>
    <n v="187"/>
    <n v="152"/>
    <n v="40"/>
    <n v="83"/>
    <n v="40"/>
    <n v="121"/>
    <n v="49"/>
    <n v="2"/>
    <s v="WF-5"/>
    <s v="South Leytonstone"/>
    <x v="34"/>
  </r>
  <r>
    <s v="WF_LTC_SNS"/>
    <x v="3"/>
    <d v="2022-01-04T00:00:00"/>
    <s v="F86708"/>
    <n v="2250"/>
    <n v="213"/>
    <n v="202"/>
    <n v="148"/>
    <n v="53"/>
    <n v="5"/>
    <n v="17"/>
    <n v="10"/>
    <n v="9"/>
    <n v="10"/>
    <n v="161"/>
    <n v="134"/>
    <n v="132"/>
    <n v="131"/>
    <n v="387"/>
    <n v="173"/>
    <n v="214"/>
    <n v="63"/>
    <n v="88"/>
    <n v="42"/>
    <n v="132"/>
    <n v="59"/>
    <n v="17"/>
    <s v="WF-6"/>
    <s v="Central Walthamstow"/>
    <x v="35"/>
  </r>
  <r>
    <s v="WF_LTC_SNS"/>
    <x v="3"/>
    <d v="2022-01-04T00:00:00"/>
    <s v="F86712"/>
    <n v="2791"/>
    <n v="209"/>
    <n v="195"/>
    <n v="87"/>
    <n v="159"/>
    <n v="27"/>
    <n v="12"/>
    <n v="12"/>
    <n v="10"/>
    <n v="12"/>
    <n v="98"/>
    <n v="72"/>
    <n v="71"/>
    <n v="71"/>
    <n v="336"/>
    <n v="195"/>
    <n v="141"/>
    <n v="60"/>
    <n v="63"/>
    <n v="31"/>
    <n v="134"/>
    <n v="55"/>
    <n v="5"/>
    <s v="WF-4"/>
    <s v="Forest Integrated Health"/>
    <x v="36"/>
  </r>
  <r>
    <s v="WF_LTC_SNS"/>
    <x v="3"/>
    <d v="2022-01-04T00:00:00"/>
    <s v="Y01291"/>
    <n v="7044"/>
    <n v="495"/>
    <n v="465"/>
    <n v="351"/>
    <n v="140"/>
    <n v="11"/>
    <n v="110"/>
    <n v="91"/>
    <n v="29"/>
    <n v="52"/>
    <n v="460"/>
    <n v="329"/>
    <n v="320"/>
    <n v="319"/>
    <n v="1240"/>
    <n v="799"/>
    <n v="441"/>
    <n v="225"/>
    <n v="324"/>
    <n v="158"/>
    <n v="507"/>
    <n v="157"/>
    <n v="13"/>
    <s v="WF-2"/>
    <s v="Chingford E4"/>
    <x v="37"/>
  </r>
  <r>
    <s v="WF_LTC_SNS"/>
    <x v="3"/>
    <d v="2022-01-04T00:00:00"/>
    <s v="Y01839"/>
    <n v="4858"/>
    <n v="418"/>
    <n v="393"/>
    <n v="159"/>
    <n v="268"/>
    <n v="20"/>
    <n v="78"/>
    <n v="32"/>
    <n v="15"/>
    <n v="18"/>
    <n v="315"/>
    <n v="105"/>
    <n v="104"/>
    <n v="100"/>
    <n v="713"/>
    <n v="246"/>
    <n v="467"/>
    <n v="48"/>
    <n v="161"/>
    <n v="84"/>
    <n v="265"/>
    <n v="98"/>
    <n v="26"/>
    <s v="WF-1"/>
    <s v="Chingford/ Walthamstow"/>
    <x v="38"/>
  </r>
  <r>
    <s v="WF_LTC_SNS"/>
    <x v="4"/>
    <d v="2022-02-02T00:00:00"/>
    <s v="F86001"/>
    <n v="6210"/>
    <n v="546"/>
    <n v="518"/>
    <n v="357"/>
    <n v="375"/>
    <n v="52"/>
    <n v="82"/>
    <n v="57"/>
    <n v="34"/>
    <n v="37"/>
    <n v="343"/>
    <n v="226"/>
    <n v="213"/>
    <n v="217"/>
    <n v="891"/>
    <n v="452"/>
    <n v="439"/>
    <n v="103"/>
    <n v="234"/>
    <n v="105"/>
    <n v="325"/>
    <n v="143"/>
    <n v="15"/>
    <s v="WF-6"/>
    <s v="Central Walthamstow"/>
    <x v="5"/>
  </r>
  <r>
    <s v="WF_LTC_SNS"/>
    <x v="4"/>
    <d v="2022-02-02T00:00:00"/>
    <s v="F86005"/>
    <n v="7284"/>
    <n v="360"/>
    <n v="330"/>
    <n v="211"/>
    <n v="240"/>
    <n v="38"/>
    <n v="102"/>
    <n v="89"/>
    <n v="17"/>
    <n v="70"/>
    <n v="376"/>
    <n v="191"/>
    <n v="185"/>
    <n v="189"/>
    <n v="806"/>
    <n v="424"/>
    <n v="382"/>
    <n v="114"/>
    <n v="152"/>
    <n v="81"/>
    <n v="269"/>
    <n v="145"/>
    <n v="10"/>
    <s v="WF-1"/>
    <s v="Chingford/ Walthamstow"/>
    <x v="6"/>
  </r>
  <r>
    <s v="WF_LTC_SNS"/>
    <x v="4"/>
    <d v="2022-02-02T00:00:00"/>
    <s v="F86006"/>
    <n v="5330"/>
    <n v="438"/>
    <n v="417"/>
    <n v="323"/>
    <n v="287"/>
    <n v="38"/>
    <n v="58"/>
    <n v="33"/>
    <n v="24"/>
    <n v="29"/>
    <n v="245"/>
    <n v="124"/>
    <n v="123"/>
    <n v="122"/>
    <n v="851"/>
    <n v="357"/>
    <n v="494"/>
    <n v="194"/>
    <n v="169"/>
    <n v="103"/>
    <n v="291"/>
    <n v="129"/>
    <n v="19"/>
    <s v="WF-7"/>
    <s v="Walthamstow West"/>
    <x v="7"/>
  </r>
  <r>
    <s v="WF_LTC_SNS"/>
    <x v="4"/>
    <d v="2022-02-02T00:00:00"/>
    <s v="F86011"/>
    <n v="7804"/>
    <n v="738"/>
    <n v="694"/>
    <n v="600"/>
    <n v="444"/>
    <n v="59"/>
    <n v="92"/>
    <n v="83"/>
    <n v="69"/>
    <n v="74"/>
    <n v="338"/>
    <n v="295"/>
    <n v="285"/>
    <n v="289"/>
    <n v="1130"/>
    <n v="581"/>
    <n v="549"/>
    <n v="204"/>
    <n v="351"/>
    <n v="189"/>
    <n v="508"/>
    <n v="228"/>
    <n v="67"/>
    <s v="WF-3"/>
    <s v="Leyton Collaborative"/>
    <x v="8"/>
  </r>
  <r>
    <s v="WF_LTC_SNS"/>
    <x v="4"/>
    <d v="2022-02-02T00:00:00"/>
    <s v="F86030"/>
    <n v="6247"/>
    <n v="557"/>
    <n v="539"/>
    <n v="494"/>
    <n v="453"/>
    <n v="145"/>
    <n v="38"/>
    <n v="34"/>
    <n v="29"/>
    <n v="33"/>
    <n v="352"/>
    <n v="316"/>
    <n v="315"/>
    <n v="309"/>
    <n v="734"/>
    <n v="533"/>
    <n v="201"/>
    <n v="86"/>
    <n v="202"/>
    <n v="130"/>
    <n v="325"/>
    <n v="153"/>
    <n v="23"/>
    <s v="WF-7"/>
    <s v="Walthamstow West"/>
    <x v="9"/>
  </r>
  <r>
    <s v="WF_LTC_SNS"/>
    <x v="4"/>
    <d v="2022-02-02T00:00:00"/>
    <s v="F86036"/>
    <n v="11646"/>
    <n v="784"/>
    <n v="720"/>
    <n v="457"/>
    <n v="530"/>
    <n v="70"/>
    <n v="105"/>
    <n v="93"/>
    <n v="90"/>
    <n v="91"/>
    <n v="607"/>
    <n v="382"/>
    <n v="380"/>
    <n v="376"/>
    <n v="1424"/>
    <n v="677"/>
    <n v="747"/>
    <n v="122"/>
    <n v="362"/>
    <n v="177"/>
    <n v="563"/>
    <n v="222"/>
    <n v="31"/>
    <s v="WF-4"/>
    <s v="Forest Integrated Health"/>
    <x v="10"/>
  </r>
  <r>
    <s v="WF_LTC_SNS"/>
    <x v="4"/>
    <d v="2022-02-02T00:00:00"/>
    <s v="F86038"/>
    <n v="8350"/>
    <n v="803"/>
    <n v="773"/>
    <n v="681"/>
    <n v="508"/>
    <n v="110"/>
    <n v="44"/>
    <n v="42"/>
    <n v="37"/>
    <n v="41"/>
    <n v="443"/>
    <n v="371"/>
    <n v="363"/>
    <n v="360"/>
    <n v="1080"/>
    <n v="669"/>
    <n v="411"/>
    <n v="154"/>
    <n v="347"/>
    <n v="196"/>
    <n v="441"/>
    <n v="179"/>
    <n v="63"/>
    <s v="WF-3"/>
    <s v="Leyton Collaborative"/>
    <x v="11"/>
  </r>
  <r>
    <s v="WF_LTC_SNS"/>
    <x v="4"/>
    <d v="2022-02-02T00:00:00"/>
    <s v="F86044"/>
    <n v="8516"/>
    <n v="411"/>
    <n v="378"/>
    <n v="301"/>
    <n v="237"/>
    <n v="28"/>
    <n v="33"/>
    <n v="28"/>
    <n v="23"/>
    <n v="28"/>
    <n v="332"/>
    <n v="281"/>
    <n v="278"/>
    <n v="279"/>
    <n v="760"/>
    <n v="352"/>
    <n v="408"/>
    <n v="86"/>
    <n v="150"/>
    <n v="86"/>
    <n v="268"/>
    <n v="140"/>
    <n v="9"/>
    <s v="WF-4"/>
    <s v="Forest Integrated Health"/>
    <x v="12"/>
  </r>
  <r>
    <s v="WF_LTC_SNS"/>
    <x v="4"/>
    <d v="2022-02-02T00:00:00"/>
    <s v="F86045"/>
    <n v="1691"/>
    <n v="135"/>
    <n v="132"/>
    <n v="112"/>
    <n v="104"/>
    <n v="23"/>
    <n v="19"/>
    <n v="12"/>
    <n v="9"/>
    <n v="8"/>
    <n v="81"/>
    <n v="60"/>
    <n v="60"/>
    <n v="60"/>
    <n v="261"/>
    <n v="137"/>
    <n v="124"/>
    <n v="19"/>
    <n v="69"/>
    <n v="32"/>
    <n v="80"/>
    <n v="25"/>
    <n v="4"/>
    <s v="WF-5"/>
    <s v="South Leytonstone"/>
    <x v="13"/>
  </r>
  <r>
    <s v="WF_LTC_SNS"/>
    <x v="4"/>
    <d v="2022-02-02T00:00:00"/>
    <s v="F86058"/>
    <n v="13034"/>
    <n v="780"/>
    <n v="722"/>
    <n v="487"/>
    <n v="565"/>
    <n v="72"/>
    <n v="109"/>
    <n v="84"/>
    <n v="70"/>
    <n v="78"/>
    <n v="559"/>
    <n v="229"/>
    <n v="219"/>
    <n v="216"/>
    <n v="1480"/>
    <n v="840"/>
    <n v="640"/>
    <n v="181"/>
    <n v="324"/>
    <n v="181"/>
    <n v="507"/>
    <n v="260"/>
    <n v="31"/>
    <s v="WF-7"/>
    <s v="Walthamstow West"/>
    <x v="14"/>
  </r>
  <r>
    <s v="WF_LTC_SNS"/>
    <x v="4"/>
    <d v="2022-02-02T00:00:00"/>
    <s v="F86062"/>
    <n v="5756"/>
    <n v="455"/>
    <n v="429"/>
    <n v="157"/>
    <n v="325"/>
    <n v="28"/>
    <n v="63"/>
    <n v="27"/>
    <n v="15"/>
    <n v="21"/>
    <n v="270"/>
    <n v="126"/>
    <n v="108"/>
    <n v="107"/>
    <n v="807"/>
    <n v="295"/>
    <n v="512"/>
    <n v="97"/>
    <n v="199"/>
    <n v="114"/>
    <n v="289"/>
    <n v="147"/>
    <n v="46"/>
    <s v="WF-7"/>
    <s v="Walthamstow West"/>
    <x v="15"/>
  </r>
  <r>
    <s v="WF_LTC_SNS"/>
    <x v="4"/>
    <d v="2022-02-02T00:00:00"/>
    <s v="F86078"/>
    <n v="5718"/>
    <n v="345"/>
    <n v="319"/>
    <n v="143"/>
    <n v="148"/>
    <n v="8"/>
    <n v="73"/>
    <n v="39"/>
    <n v="3"/>
    <n v="31"/>
    <n v="325"/>
    <n v="196"/>
    <n v="194"/>
    <n v="194"/>
    <n v="1082"/>
    <n v="424"/>
    <n v="658"/>
    <n v="52"/>
    <n v="285"/>
    <n v="128"/>
    <n v="475"/>
    <n v="280"/>
    <n v="13"/>
    <s v="WF-2"/>
    <s v="Chingford E4"/>
    <x v="16"/>
  </r>
  <r>
    <s v="WF_LTC_SNS"/>
    <x v="4"/>
    <d v="2022-02-02T00:00:00"/>
    <s v="F86086"/>
    <n v="4575"/>
    <n v="312"/>
    <n v="299"/>
    <n v="190"/>
    <n v="124"/>
    <n v="10"/>
    <n v="30"/>
    <n v="18"/>
    <n v="5"/>
    <n v="14"/>
    <n v="205"/>
    <n v="110"/>
    <n v="108"/>
    <n v="108"/>
    <n v="505"/>
    <n v="216"/>
    <n v="289"/>
    <n v="47"/>
    <n v="132"/>
    <n v="75"/>
    <n v="181"/>
    <n v="88"/>
    <n v="8"/>
    <s v="WF-6"/>
    <s v="Central Walthamstow"/>
    <x v="17"/>
  </r>
  <r>
    <s v="WF_LTC_SNS"/>
    <x v="4"/>
    <d v="2022-02-02T00:00:00"/>
    <s v="F86088"/>
    <n v="4149"/>
    <n v="373"/>
    <n v="355"/>
    <n v="174"/>
    <n v="128"/>
    <n v="20"/>
    <n v="35"/>
    <n v="19"/>
    <n v="0"/>
    <n v="17"/>
    <n v="218"/>
    <n v="190"/>
    <n v="182"/>
    <n v="184"/>
    <n v="673"/>
    <n v="309"/>
    <n v="364"/>
    <n v="61"/>
    <n v="131"/>
    <n v="67"/>
    <n v="214"/>
    <n v="124"/>
    <n v="15"/>
    <s v="WF-4"/>
    <s v="Forest Integrated Health"/>
    <x v="18"/>
  </r>
  <r>
    <s v="WF_LTC_SNS"/>
    <x v="4"/>
    <d v="2022-02-02T00:00:00"/>
    <s v="F86607"/>
    <n v="11785"/>
    <n v="679"/>
    <n v="639"/>
    <n v="481"/>
    <n v="242"/>
    <n v="25"/>
    <n v="88"/>
    <n v="63"/>
    <n v="44"/>
    <n v="49"/>
    <n v="691"/>
    <n v="464"/>
    <n v="453"/>
    <n v="462"/>
    <n v="1295"/>
    <n v="683"/>
    <n v="612"/>
    <n v="192"/>
    <n v="314"/>
    <n v="154"/>
    <n v="447"/>
    <n v="205"/>
    <n v="9"/>
    <s v="WF-6"/>
    <s v="Central Walthamstow"/>
    <x v="19"/>
  </r>
  <r>
    <s v="WF_LTC_SNS"/>
    <x v="4"/>
    <d v="2022-02-02T00:00:00"/>
    <s v="F86616"/>
    <n v="6020"/>
    <n v="372"/>
    <n v="344"/>
    <n v="316"/>
    <n v="123"/>
    <n v="34"/>
    <n v="67"/>
    <n v="45"/>
    <n v="24"/>
    <n v="11"/>
    <n v="403"/>
    <n v="295"/>
    <n v="288"/>
    <n v="286"/>
    <n v="841"/>
    <n v="629"/>
    <n v="212"/>
    <n v="104"/>
    <n v="242"/>
    <n v="112"/>
    <n v="391"/>
    <n v="202"/>
    <n v="15"/>
    <s v="WF-2"/>
    <s v="Chingford E4"/>
    <x v="20"/>
  </r>
  <r>
    <s v="WF_LTC_SNS"/>
    <x v="4"/>
    <d v="2022-02-02T00:00:00"/>
    <s v="F86621"/>
    <n v="5296"/>
    <n v="319"/>
    <n v="301"/>
    <n v="160"/>
    <n v="242"/>
    <n v="42"/>
    <n v="29"/>
    <n v="19"/>
    <n v="18"/>
    <n v="18"/>
    <n v="261"/>
    <n v="147"/>
    <n v="146"/>
    <n v="144"/>
    <n v="594"/>
    <n v="272"/>
    <n v="322"/>
    <n v="48"/>
    <n v="157"/>
    <n v="69"/>
    <n v="286"/>
    <n v="126"/>
    <n v="10"/>
    <s v="WF-5"/>
    <s v="South Leytonstone"/>
    <x v="21"/>
  </r>
  <r>
    <s v="WF_LTC_SNS"/>
    <x v="4"/>
    <d v="2022-02-02T00:00:00"/>
    <s v="F86625"/>
    <n v="4685"/>
    <n v="432"/>
    <n v="410"/>
    <n v="266"/>
    <n v="269"/>
    <n v="38"/>
    <n v="53"/>
    <n v="45"/>
    <n v="27"/>
    <n v="38"/>
    <n v="236"/>
    <n v="147"/>
    <n v="141"/>
    <n v="143"/>
    <n v="686"/>
    <n v="291"/>
    <n v="395"/>
    <n v="130"/>
    <n v="205"/>
    <n v="92"/>
    <n v="285"/>
    <n v="142"/>
    <n v="5"/>
    <s v="WF-5"/>
    <s v="South Leytonstone"/>
    <x v="22"/>
  </r>
  <r>
    <s v="WF_LTC_SNS"/>
    <x v="4"/>
    <d v="2022-02-02T00:00:00"/>
    <s v="F86626"/>
    <n v="5437"/>
    <n v="302"/>
    <n v="288"/>
    <n v="123"/>
    <n v="217"/>
    <n v="14"/>
    <n v="26"/>
    <n v="10"/>
    <n v="3"/>
    <n v="6"/>
    <n v="194"/>
    <n v="122"/>
    <n v="104"/>
    <n v="97"/>
    <n v="542"/>
    <n v="253"/>
    <n v="289"/>
    <n v="58"/>
    <n v="113"/>
    <n v="52"/>
    <n v="171"/>
    <n v="91"/>
    <n v="1"/>
    <s v="WF-1"/>
    <s v="Chingford/ Walthamstow"/>
    <x v="23"/>
  </r>
  <r>
    <s v="WF_LTC_SNS"/>
    <x v="4"/>
    <d v="2022-02-02T00:00:00"/>
    <s v="F86627"/>
    <n v="10586"/>
    <n v="811"/>
    <n v="763"/>
    <n v="449"/>
    <n v="227"/>
    <n v="18"/>
    <n v="224"/>
    <n v="178"/>
    <n v="73"/>
    <n v="145"/>
    <n v="717"/>
    <n v="478"/>
    <n v="459"/>
    <n v="467"/>
    <n v="1832"/>
    <n v="994"/>
    <n v="838"/>
    <n v="318"/>
    <n v="572"/>
    <n v="252"/>
    <n v="822"/>
    <n v="375"/>
    <n v="91"/>
    <s v="WF-2"/>
    <s v="Chingford E4"/>
    <x v="24"/>
  </r>
  <r>
    <s v="WF_LTC_SNS"/>
    <x v="4"/>
    <d v="2022-02-02T00:00:00"/>
    <s v="F86644"/>
    <n v="7184"/>
    <n v="522"/>
    <n v="499"/>
    <n v="241"/>
    <n v="367"/>
    <n v="26"/>
    <n v="92"/>
    <n v="57"/>
    <n v="47"/>
    <n v="54"/>
    <n v="361"/>
    <n v="144"/>
    <n v="131"/>
    <n v="128"/>
    <n v="1110"/>
    <n v="438"/>
    <n v="672"/>
    <n v="140"/>
    <n v="256"/>
    <n v="124"/>
    <n v="406"/>
    <n v="184"/>
    <n v="14"/>
    <s v="WF-6"/>
    <s v="Central Walthamstow"/>
    <x v="25"/>
  </r>
  <r>
    <s v="WF_LTC_SNS"/>
    <x v="4"/>
    <d v="2022-02-02T00:00:00"/>
    <s v="F86650"/>
    <n v="6381"/>
    <n v="511"/>
    <n v="486"/>
    <n v="314"/>
    <n v="358"/>
    <n v="43"/>
    <n v="56"/>
    <n v="38"/>
    <n v="30"/>
    <n v="33"/>
    <n v="331"/>
    <n v="246"/>
    <n v="246"/>
    <n v="246"/>
    <n v="690"/>
    <n v="313"/>
    <n v="377"/>
    <n v="109"/>
    <n v="194"/>
    <n v="93"/>
    <n v="318"/>
    <n v="136"/>
    <n v="3"/>
    <s v="WF-4"/>
    <s v="Forest Integrated Health"/>
    <x v="26"/>
  </r>
  <r>
    <s v="WF_LTC_SNS"/>
    <x v="4"/>
    <d v="2022-02-02T00:00:00"/>
    <s v="F86664"/>
    <n v="6541"/>
    <n v="416"/>
    <n v="378"/>
    <n v="223"/>
    <n v="282"/>
    <n v="30"/>
    <n v="97"/>
    <n v="81"/>
    <n v="53"/>
    <n v="73"/>
    <n v="327"/>
    <n v="228"/>
    <n v="221"/>
    <n v="216"/>
    <n v="869"/>
    <n v="474"/>
    <n v="395"/>
    <n v="12"/>
    <n v="265"/>
    <n v="90"/>
    <n v="382"/>
    <n v="195"/>
    <n v="29"/>
    <s v="WF-1"/>
    <s v="Chingford/ Walthamstow"/>
    <x v="27"/>
  </r>
  <r>
    <s v="WF_LTC_SNS"/>
    <x v="4"/>
    <d v="2022-02-02T00:00:00"/>
    <s v="F86666"/>
    <n v="11840"/>
    <n v="875"/>
    <n v="832"/>
    <n v="548"/>
    <n v="326"/>
    <n v="36"/>
    <n v="119"/>
    <n v="106"/>
    <n v="89"/>
    <n v="100"/>
    <n v="567"/>
    <n v="424"/>
    <n v="412"/>
    <n v="418"/>
    <n v="1809"/>
    <n v="943"/>
    <n v="866"/>
    <n v="347"/>
    <n v="311"/>
    <n v="165"/>
    <n v="423"/>
    <n v="224"/>
    <n v="49"/>
    <s v="WF-5"/>
    <s v="South Leytonstone"/>
    <x v="28"/>
  </r>
  <r>
    <s v="WF_LTC_SNS"/>
    <x v="4"/>
    <d v="2022-02-02T00:00:00"/>
    <s v="F86679"/>
    <n v="4669"/>
    <n v="241"/>
    <n v="224"/>
    <n v="215"/>
    <n v="155"/>
    <n v="46"/>
    <n v="30"/>
    <n v="28"/>
    <n v="28"/>
    <n v="25"/>
    <n v="205"/>
    <n v="159"/>
    <n v="155"/>
    <n v="153"/>
    <n v="464"/>
    <n v="274"/>
    <n v="190"/>
    <n v="38"/>
    <n v="85"/>
    <n v="49"/>
    <n v="137"/>
    <n v="75"/>
    <n v="15"/>
    <s v="WF-7"/>
    <s v="Walthamstow West"/>
    <x v="29"/>
  </r>
  <r>
    <s v="WF_LTC_SNS"/>
    <x v="4"/>
    <d v="2022-02-02T00:00:00"/>
    <s v="F86689"/>
    <n v="3239"/>
    <n v="127"/>
    <n v="114"/>
    <n v="94"/>
    <n v="72"/>
    <n v="12"/>
    <n v="44"/>
    <n v="33"/>
    <n v="4"/>
    <n v="16"/>
    <n v="189"/>
    <n v="123"/>
    <n v="114"/>
    <n v="111"/>
    <n v="296"/>
    <n v="197"/>
    <n v="99"/>
    <n v="41"/>
    <n v="78"/>
    <n v="43"/>
    <n v="110"/>
    <n v="54"/>
    <n v="12"/>
    <s v="WF-1"/>
    <s v="Chingford/ Walthamstow"/>
    <x v="30"/>
  </r>
  <r>
    <s v="WF_LTC_SNS"/>
    <x v="4"/>
    <d v="2022-02-02T00:00:00"/>
    <s v="F86696"/>
    <n v="5538"/>
    <n v="359"/>
    <n v="343"/>
    <n v="280"/>
    <n v="90"/>
    <n v="11"/>
    <n v="25"/>
    <n v="20"/>
    <n v="15"/>
    <n v="20"/>
    <n v="235"/>
    <n v="195"/>
    <n v="193"/>
    <n v="192"/>
    <n v="582"/>
    <n v="353"/>
    <n v="229"/>
    <n v="109"/>
    <n v="147"/>
    <n v="91"/>
    <n v="209"/>
    <n v="104"/>
    <n v="9"/>
    <s v="WF-4"/>
    <s v="Forest Integrated Health"/>
    <x v="31"/>
  </r>
  <r>
    <s v="WF_LTC_SNS"/>
    <x v="4"/>
    <d v="2022-02-02T00:00:00"/>
    <s v="F86700"/>
    <n v="3052"/>
    <n v="221"/>
    <n v="206"/>
    <n v="170"/>
    <n v="46"/>
    <n v="7"/>
    <n v="107"/>
    <n v="94"/>
    <n v="63"/>
    <n v="27"/>
    <n v="227"/>
    <n v="175"/>
    <n v="173"/>
    <n v="172"/>
    <n v="749"/>
    <n v="549"/>
    <n v="200"/>
    <n v="44"/>
    <n v="208"/>
    <n v="69"/>
    <n v="264"/>
    <n v="157"/>
    <n v="31"/>
    <s v="WF-1"/>
    <s v="Chingford/ Walthamstow"/>
    <x v="32"/>
  </r>
  <r>
    <s v="WF_LTC_SNS"/>
    <x v="4"/>
    <d v="2022-02-02T00:00:00"/>
    <s v="F86701"/>
    <n v="3047"/>
    <n v="267"/>
    <n v="253"/>
    <n v="160"/>
    <n v="189"/>
    <n v="13"/>
    <n v="24"/>
    <n v="19"/>
    <n v="17"/>
    <n v="19"/>
    <n v="134"/>
    <n v="127"/>
    <n v="99"/>
    <n v="101"/>
    <n v="463"/>
    <n v="253"/>
    <n v="210"/>
    <n v="96"/>
    <n v="91"/>
    <n v="48"/>
    <n v="132"/>
    <n v="78"/>
    <n v="2"/>
    <s v="WF-5"/>
    <s v="South Leytonstone"/>
    <x v="33"/>
  </r>
  <r>
    <s v="WF_LTC_SNS"/>
    <x v="4"/>
    <d v="2022-02-02T00:00:00"/>
    <s v="F86705"/>
    <n v="2922"/>
    <n v="217"/>
    <n v="207"/>
    <n v="174"/>
    <n v="135"/>
    <n v="11"/>
    <n v="27"/>
    <n v="22"/>
    <n v="19"/>
    <n v="12"/>
    <n v="101"/>
    <n v="90"/>
    <n v="89"/>
    <n v="88"/>
    <n v="339"/>
    <n v="189"/>
    <n v="150"/>
    <n v="36"/>
    <n v="83"/>
    <n v="40"/>
    <n v="123"/>
    <n v="54"/>
    <n v="3"/>
    <s v="WF-5"/>
    <s v="South Leytonstone"/>
    <x v="34"/>
  </r>
  <r>
    <s v="WF_LTC_SNS"/>
    <x v="4"/>
    <d v="2022-02-02T00:00:00"/>
    <s v="F86708"/>
    <n v="2161"/>
    <n v="206"/>
    <n v="195"/>
    <n v="143"/>
    <n v="48"/>
    <n v="4"/>
    <n v="16"/>
    <n v="11"/>
    <n v="10"/>
    <n v="11"/>
    <n v="154"/>
    <n v="132"/>
    <n v="130"/>
    <n v="130"/>
    <n v="370"/>
    <n v="165"/>
    <n v="205"/>
    <n v="64"/>
    <n v="85"/>
    <n v="39"/>
    <n v="134"/>
    <n v="59"/>
    <n v="17"/>
    <s v="WF-6"/>
    <s v="Central Walthamstow"/>
    <x v="35"/>
  </r>
  <r>
    <s v="WF_LTC_SNS"/>
    <x v="4"/>
    <d v="2022-02-02T00:00:00"/>
    <s v="F86712"/>
    <n v="2790"/>
    <n v="212"/>
    <n v="198"/>
    <n v="90"/>
    <n v="160"/>
    <n v="26"/>
    <n v="12"/>
    <n v="9"/>
    <n v="4"/>
    <n v="9"/>
    <n v="96"/>
    <n v="71"/>
    <n v="70"/>
    <n v="70"/>
    <n v="339"/>
    <n v="190"/>
    <n v="149"/>
    <n v="65"/>
    <n v="63"/>
    <n v="30"/>
    <n v="132"/>
    <n v="53"/>
    <n v="4"/>
    <s v="WF-4"/>
    <s v="Forest Integrated Health"/>
    <x v="36"/>
  </r>
  <r>
    <s v="WF_LTC_SNS"/>
    <x v="4"/>
    <d v="2022-02-02T00:00:00"/>
    <s v="Y01291"/>
    <n v="7124"/>
    <n v="499"/>
    <n v="465"/>
    <n v="350"/>
    <n v="136"/>
    <n v="13"/>
    <n v="109"/>
    <n v="91"/>
    <n v="28"/>
    <n v="51"/>
    <n v="457"/>
    <n v="329"/>
    <n v="321"/>
    <n v="322"/>
    <n v="1244"/>
    <n v="803"/>
    <n v="441"/>
    <n v="225"/>
    <n v="326"/>
    <n v="157"/>
    <n v="518"/>
    <n v="165"/>
    <n v="14"/>
    <s v="WF-2"/>
    <s v="Chingford E4"/>
    <x v="37"/>
  </r>
  <r>
    <s v="WF_LTC_SNS"/>
    <x v="4"/>
    <d v="2022-02-02T00:00:00"/>
    <s v="Y01839"/>
    <n v="4853"/>
    <n v="417"/>
    <n v="392"/>
    <n v="163"/>
    <n v="272"/>
    <n v="23"/>
    <n v="76"/>
    <n v="31"/>
    <n v="15"/>
    <n v="18"/>
    <n v="316"/>
    <n v="105"/>
    <n v="104"/>
    <n v="100"/>
    <n v="711"/>
    <n v="245"/>
    <n v="466"/>
    <n v="48"/>
    <n v="162"/>
    <n v="85"/>
    <n v="263"/>
    <n v="99"/>
    <n v="10"/>
    <s v="WF-1"/>
    <s v="Chingford/ Walthamstow"/>
    <x v="38"/>
  </r>
  <r>
    <s v="WF_LTC_SNS"/>
    <x v="5"/>
    <d v="2022-03-02T00:00:00"/>
    <s v="F86001"/>
    <n v="6217"/>
    <n v="545"/>
    <n v="517"/>
    <n v="345"/>
    <n v="372"/>
    <n v="46"/>
    <n v="81"/>
    <n v="54"/>
    <n v="31"/>
    <n v="35"/>
    <n v="341"/>
    <n v="229"/>
    <n v="213"/>
    <n v="220"/>
    <n v="892"/>
    <n v="465"/>
    <n v="427"/>
    <n v="107"/>
    <n v="231"/>
    <n v="105"/>
    <n v="322"/>
    <n v="139"/>
    <n v="11"/>
    <s v="WF-6"/>
    <s v="Central Walthamstow"/>
    <x v="5"/>
  </r>
  <r>
    <s v="WF_LTC_SNS"/>
    <x v="5"/>
    <d v="2022-03-02T00:00:00"/>
    <s v="F86005"/>
    <n v="7298"/>
    <n v="359"/>
    <n v="329"/>
    <n v="202"/>
    <n v="237"/>
    <n v="38"/>
    <n v="102"/>
    <n v="85"/>
    <n v="14"/>
    <n v="63"/>
    <n v="386"/>
    <n v="200"/>
    <n v="187"/>
    <n v="191"/>
    <n v="810"/>
    <n v="428"/>
    <n v="382"/>
    <n v="107"/>
    <n v="157"/>
    <n v="84"/>
    <n v="274"/>
    <n v="147"/>
    <n v="11"/>
    <s v="WF-1"/>
    <s v="Chingford/ Walthamstow"/>
    <x v="6"/>
  </r>
  <r>
    <s v="WF_LTC_SNS"/>
    <x v="5"/>
    <d v="2022-03-02T00:00:00"/>
    <s v="F86006"/>
    <n v="5358"/>
    <n v="441"/>
    <n v="420"/>
    <n v="304"/>
    <n v="291"/>
    <n v="34"/>
    <n v="56"/>
    <n v="11"/>
    <n v="2"/>
    <n v="6"/>
    <n v="245"/>
    <n v="126"/>
    <n v="125"/>
    <n v="124"/>
    <n v="849"/>
    <n v="354"/>
    <n v="495"/>
    <n v="194"/>
    <n v="167"/>
    <n v="104"/>
    <n v="282"/>
    <n v="124"/>
    <n v="20"/>
    <s v="WF-7"/>
    <s v="Walthamstow West"/>
    <x v="7"/>
  </r>
  <r>
    <s v="WF_LTC_SNS"/>
    <x v="5"/>
    <d v="2022-03-02T00:00:00"/>
    <s v="F86011"/>
    <n v="7804"/>
    <n v="746"/>
    <n v="701"/>
    <n v="584"/>
    <n v="445"/>
    <n v="55"/>
    <n v="91"/>
    <n v="85"/>
    <n v="69"/>
    <n v="74"/>
    <n v="335"/>
    <n v="279"/>
    <n v="271"/>
    <n v="270"/>
    <n v="1130"/>
    <n v="573"/>
    <n v="557"/>
    <n v="202"/>
    <n v="356"/>
    <n v="191"/>
    <n v="513"/>
    <n v="235"/>
    <n v="61"/>
    <s v="WF-3"/>
    <s v="Leyton Collaborative"/>
    <x v="8"/>
  </r>
  <r>
    <s v="WF_LTC_SNS"/>
    <x v="5"/>
    <d v="2022-03-02T00:00:00"/>
    <s v="F86030"/>
    <n v="6253"/>
    <n v="557"/>
    <n v="539"/>
    <n v="490"/>
    <n v="457"/>
    <n v="140"/>
    <n v="37"/>
    <n v="34"/>
    <n v="29"/>
    <n v="33"/>
    <n v="354"/>
    <n v="319"/>
    <n v="317"/>
    <n v="314"/>
    <n v="738"/>
    <n v="539"/>
    <n v="199"/>
    <n v="86"/>
    <n v="200"/>
    <n v="132"/>
    <n v="332"/>
    <n v="157"/>
    <n v="21"/>
    <s v="WF-7"/>
    <s v="Walthamstow West"/>
    <x v="9"/>
  </r>
  <r>
    <s v="WF_LTC_SNS"/>
    <x v="5"/>
    <d v="2022-03-02T00:00:00"/>
    <s v="F86036"/>
    <n v="11595"/>
    <n v="787"/>
    <n v="725"/>
    <n v="496"/>
    <n v="519"/>
    <n v="75"/>
    <n v="107"/>
    <n v="93"/>
    <n v="90"/>
    <n v="90"/>
    <n v="613"/>
    <n v="402"/>
    <n v="399"/>
    <n v="397"/>
    <n v="1422"/>
    <n v="691"/>
    <n v="731"/>
    <n v="134"/>
    <n v="361"/>
    <n v="175"/>
    <n v="564"/>
    <n v="225"/>
    <n v="29"/>
    <s v="WF-4"/>
    <s v="Forest Integrated Health"/>
    <x v="10"/>
  </r>
  <r>
    <s v="WF_LTC_SNS"/>
    <x v="5"/>
    <d v="2022-03-02T00:00:00"/>
    <s v="F86038"/>
    <n v="8209"/>
    <n v="805"/>
    <n v="776"/>
    <n v="685"/>
    <n v="509"/>
    <n v="109"/>
    <n v="46"/>
    <n v="43"/>
    <n v="38"/>
    <n v="42"/>
    <n v="450"/>
    <n v="391"/>
    <n v="385"/>
    <n v="378"/>
    <n v="1070"/>
    <n v="673"/>
    <n v="397"/>
    <n v="150"/>
    <n v="346"/>
    <n v="203"/>
    <n v="445"/>
    <n v="176"/>
    <n v="58"/>
    <s v="WF-3"/>
    <s v="Leyton Collaborative"/>
    <x v="11"/>
  </r>
  <r>
    <s v="WF_LTC_SNS"/>
    <x v="5"/>
    <d v="2022-03-02T00:00:00"/>
    <s v="F86044"/>
    <n v="8654"/>
    <n v="418"/>
    <n v="383"/>
    <n v="313"/>
    <n v="241"/>
    <n v="30"/>
    <n v="34"/>
    <n v="28"/>
    <n v="23"/>
    <n v="28"/>
    <n v="329"/>
    <n v="282"/>
    <n v="279"/>
    <n v="281"/>
    <n v="762"/>
    <n v="357"/>
    <n v="405"/>
    <n v="86"/>
    <n v="149"/>
    <n v="86"/>
    <n v="271"/>
    <n v="142"/>
    <n v="9"/>
    <s v="WF-4"/>
    <s v="Forest Integrated Health"/>
    <x v="12"/>
  </r>
  <r>
    <s v="WF_LTC_SNS"/>
    <x v="5"/>
    <d v="2022-03-02T00:00:00"/>
    <s v="F86045"/>
    <n v="1693"/>
    <n v="136"/>
    <n v="133"/>
    <n v="114"/>
    <n v="104"/>
    <n v="23"/>
    <n v="20"/>
    <n v="13"/>
    <n v="10"/>
    <n v="8"/>
    <n v="83"/>
    <n v="62"/>
    <n v="62"/>
    <n v="62"/>
    <n v="260"/>
    <n v="136"/>
    <n v="124"/>
    <n v="17"/>
    <n v="69"/>
    <n v="32"/>
    <n v="80"/>
    <n v="24"/>
    <n v="4"/>
    <s v="WF-5"/>
    <s v="South Leytonstone"/>
    <x v="13"/>
  </r>
  <r>
    <s v="WF_LTC_SNS"/>
    <x v="5"/>
    <d v="2022-03-02T00:00:00"/>
    <s v="F86058"/>
    <n v="12975"/>
    <n v="773"/>
    <n v="717"/>
    <n v="514"/>
    <n v="564"/>
    <n v="86"/>
    <n v="107"/>
    <n v="84"/>
    <n v="69"/>
    <n v="78"/>
    <n v="562"/>
    <n v="255"/>
    <n v="243"/>
    <n v="243"/>
    <n v="1479"/>
    <n v="860"/>
    <n v="619"/>
    <n v="184"/>
    <n v="320"/>
    <n v="176"/>
    <n v="504"/>
    <n v="257"/>
    <n v="26"/>
    <s v="WF-7"/>
    <s v="Walthamstow West"/>
    <x v="14"/>
  </r>
  <r>
    <s v="WF_LTC_SNS"/>
    <x v="5"/>
    <d v="2022-03-02T00:00:00"/>
    <s v="F86062"/>
    <n v="5717"/>
    <n v="454"/>
    <n v="428"/>
    <n v="162"/>
    <n v="322"/>
    <n v="27"/>
    <n v="62"/>
    <n v="44"/>
    <n v="17"/>
    <n v="35"/>
    <n v="271"/>
    <n v="121"/>
    <n v="101"/>
    <n v="103"/>
    <n v="802"/>
    <n v="311"/>
    <n v="491"/>
    <n v="95"/>
    <n v="197"/>
    <n v="115"/>
    <n v="284"/>
    <n v="143"/>
    <n v="42"/>
    <s v="WF-7"/>
    <s v="Walthamstow West"/>
    <x v="15"/>
  </r>
  <r>
    <s v="WF_LTC_SNS"/>
    <x v="5"/>
    <d v="2022-03-02T00:00:00"/>
    <s v="F86078"/>
    <n v="5693"/>
    <n v="341"/>
    <n v="316"/>
    <n v="155"/>
    <n v="138"/>
    <n v="10"/>
    <n v="72"/>
    <n v="40"/>
    <n v="3"/>
    <n v="32"/>
    <n v="320"/>
    <n v="204"/>
    <n v="202"/>
    <n v="202"/>
    <n v="1076"/>
    <n v="437"/>
    <n v="639"/>
    <n v="61"/>
    <n v="281"/>
    <n v="128"/>
    <n v="479"/>
    <n v="282"/>
    <n v="12"/>
    <s v="WF-2"/>
    <s v="Chingford E4"/>
    <x v="16"/>
  </r>
  <r>
    <s v="WF_LTC_SNS"/>
    <x v="5"/>
    <d v="2022-03-02T00:00:00"/>
    <s v="F86086"/>
    <n v="4598"/>
    <n v="317"/>
    <n v="305"/>
    <n v="192"/>
    <n v="112"/>
    <n v="9"/>
    <n v="29"/>
    <n v="18"/>
    <n v="5"/>
    <n v="14"/>
    <n v="204"/>
    <n v="113"/>
    <n v="111"/>
    <n v="112"/>
    <n v="505"/>
    <n v="226"/>
    <n v="279"/>
    <n v="42"/>
    <n v="134"/>
    <n v="76"/>
    <n v="186"/>
    <n v="87"/>
    <n v="7"/>
    <s v="WF-6"/>
    <s v="Central Walthamstow"/>
    <x v="17"/>
  </r>
  <r>
    <s v="WF_LTC_SNS"/>
    <x v="5"/>
    <d v="2022-03-02T00:00:00"/>
    <s v="F86088"/>
    <n v="4154"/>
    <n v="372"/>
    <n v="356"/>
    <n v="178"/>
    <n v="121"/>
    <n v="21"/>
    <n v="35"/>
    <n v="20"/>
    <n v="0"/>
    <n v="18"/>
    <n v="225"/>
    <n v="192"/>
    <n v="187"/>
    <n v="188"/>
    <n v="674"/>
    <n v="317"/>
    <n v="357"/>
    <n v="59"/>
    <n v="131"/>
    <n v="67"/>
    <n v="211"/>
    <n v="119"/>
    <n v="2"/>
    <s v="WF-4"/>
    <s v="Forest Integrated Health"/>
    <x v="18"/>
  </r>
  <r>
    <s v="WF_LTC_SNS"/>
    <x v="5"/>
    <d v="2022-03-02T00:00:00"/>
    <s v="F86607"/>
    <n v="11848"/>
    <n v="685"/>
    <n v="648"/>
    <n v="486"/>
    <n v="231"/>
    <n v="22"/>
    <n v="89"/>
    <n v="75"/>
    <n v="48"/>
    <n v="62"/>
    <n v="705"/>
    <n v="472"/>
    <n v="461"/>
    <n v="470"/>
    <n v="1305"/>
    <n v="664"/>
    <n v="641"/>
    <n v="208"/>
    <n v="315"/>
    <n v="157"/>
    <n v="446"/>
    <n v="207"/>
    <n v="10"/>
    <s v="WF-6"/>
    <s v="Central Walthamstow"/>
    <x v="19"/>
  </r>
  <r>
    <s v="WF_LTC_SNS"/>
    <x v="5"/>
    <d v="2022-03-02T00:00:00"/>
    <s v="F86616"/>
    <n v="6031"/>
    <n v="372"/>
    <n v="346"/>
    <n v="315"/>
    <n v="126"/>
    <n v="35"/>
    <n v="67"/>
    <n v="43"/>
    <n v="24"/>
    <n v="12"/>
    <n v="405"/>
    <n v="288"/>
    <n v="281"/>
    <n v="278"/>
    <n v="842"/>
    <n v="633"/>
    <n v="209"/>
    <n v="106"/>
    <n v="246"/>
    <n v="115"/>
    <n v="401"/>
    <n v="209"/>
    <n v="19"/>
    <s v="WF-2"/>
    <s v="Chingford E4"/>
    <x v="20"/>
  </r>
  <r>
    <s v="WF_LTC_SNS"/>
    <x v="5"/>
    <d v="2022-03-02T00:00:00"/>
    <s v="F86621"/>
    <n v="5328"/>
    <n v="320"/>
    <n v="302"/>
    <n v="169"/>
    <n v="245"/>
    <n v="43"/>
    <n v="29"/>
    <n v="20"/>
    <n v="18"/>
    <n v="20"/>
    <n v="266"/>
    <n v="152"/>
    <n v="151"/>
    <n v="149"/>
    <n v="593"/>
    <n v="277"/>
    <n v="316"/>
    <n v="51"/>
    <n v="158"/>
    <n v="69"/>
    <n v="285"/>
    <n v="129"/>
    <n v="11"/>
    <s v="WF-5"/>
    <s v="South Leytonstone"/>
    <x v="21"/>
  </r>
  <r>
    <s v="WF_LTC_SNS"/>
    <x v="5"/>
    <d v="2022-03-02T00:00:00"/>
    <s v="F86625"/>
    <n v="4671"/>
    <n v="429"/>
    <n v="407"/>
    <n v="262"/>
    <n v="267"/>
    <n v="38"/>
    <n v="52"/>
    <n v="44"/>
    <n v="26"/>
    <n v="36"/>
    <n v="238"/>
    <n v="157"/>
    <n v="151"/>
    <n v="154"/>
    <n v="687"/>
    <n v="290"/>
    <n v="397"/>
    <n v="139"/>
    <n v="202"/>
    <n v="92"/>
    <n v="283"/>
    <n v="141"/>
    <n v="5"/>
    <s v="WF-5"/>
    <s v="South Leytonstone"/>
    <x v="22"/>
  </r>
  <r>
    <s v="WF_LTC_SNS"/>
    <x v="5"/>
    <d v="2022-03-02T00:00:00"/>
    <s v="F86626"/>
    <n v="5461"/>
    <n v="305"/>
    <n v="289"/>
    <n v="130"/>
    <n v="210"/>
    <n v="17"/>
    <n v="26"/>
    <n v="10"/>
    <n v="3"/>
    <n v="6"/>
    <n v="193"/>
    <n v="132"/>
    <n v="113"/>
    <n v="107"/>
    <n v="541"/>
    <n v="260"/>
    <n v="281"/>
    <n v="60"/>
    <n v="112"/>
    <n v="51"/>
    <n v="172"/>
    <n v="93"/>
    <n v="1"/>
    <s v="WF-1"/>
    <s v="Chingford/ Walthamstow"/>
    <x v="23"/>
  </r>
  <r>
    <s v="WF_LTC_SNS"/>
    <x v="5"/>
    <d v="2022-03-02T00:00:00"/>
    <s v="F86627"/>
    <n v="10596"/>
    <n v="819"/>
    <n v="771"/>
    <n v="465"/>
    <n v="224"/>
    <n v="22"/>
    <n v="224"/>
    <n v="163"/>
    <n v="66"/>
    <n v="131"/>
    <n v="711"/>
    <n v="507"/>
    <n v="493"/>
    <n v="500"/>
    <n v="1832"/>
    <n v="1011"/>
    <n v="821"/>
    <n v="336"/>
    <n v="574"/>
    <n v="254"/>
    <n v="823"/>
    <n v="370"/>
    <n v="87"/>
    <s v="WF-2"/>
    <s v="Chingford E4"/>
    <x v="24"/>
  </r>
  <r>
    <s v="WF_LTC_SNS"/>
    <x v="5"/>
    <d v="2022-03-02T00:00:00"/>
    <s v="F86644"/>
    <n v="7148"/>
    <n v="520"/>
    <n v="496"/>
    <n v="240"/>
    <n v="361"/>
    <n v="27"/>
    <n v="89"/>
    <n v="56"/>
    <n v="46"/>
    <n v="53"/>
    <n v="357"/>
    <n v="139"/>
    <n v="125"/>
    <n v="123"/>
    <n v="1100"/>
    <n v="447"/>
    <n v="653"/>
    <n v="126"/>
    <n v="257"/>
    <n v="126"/>
    <n v="406"/>
    <n v="181"/>
    <n v="10"/>
    <s v="WF-6"/>
    <s v="Central Walthamstow"/>
    <x v="25"/>
  </r>
  <r>
    <s v="WF_LTC_SNS"/>
    <x v="5"/>
    <d v="2022-03-02T00:00:00"/>
    <s v="F86650"/>
    <n v="6372"/>
    <n v="513"/>
    <n v="488"/>
    <n v="301"/>
    <n v="359"/>
    <n v="47"/>
    <n v="57"/>
    <n v="40"/>
    <n v="33"/>
    <n v="36"/>
    <n v="325"/>
    <n v="235"/>
    <n v="235"/>
    <n v="235"/>
    <n v="689"/>
    <n v="321"/>
    <n v="368"/>
    <n v="100"/>
    <n v="193"/>
    <n v="92"/>
    <n v="317"/>
    <n v="136"/>
    <n v="3"/>
    <s v="WF-4"/>
    <s v="Forest Integrated Health"/>
    <x v="26"/>
  </r>
  <r>
    <s v="WF_LTC_SNS"/>
    <x v="5"/>
    <d v="2022-03-02T00:00:00"/>
    <s v="F86664"/>
    <n v="6547"/>
    <n v="419"/>
    <n v="382"/>
    <n v="217"/>
    <n v="282"/>
    <n v="28"/>
    <n v="97"/>
    <n v="86"/>
    <n v="60"/>
    <n v="76"/>
    <n v="332"/>
    <n v="227"/>
    <n v="219"/>
    <n v="215"/>
    <n v="869"/>
    <n v="474"/>
    <n v="395"/>
    <n v="17"/>
    <n v="266"/>
    <n v="92"/>
    <n v="388"/>
    <n v="196"/>
    <n v="9"/>
    <s v="WF-1"/>
    <s v="Chingford/ Walthamstow"/>
    <x v="27"/>
  </r>
  <r>
    <s v="WF_LTC_SNS"/>
    <x v="5"/>
    <d v="2022-03-02T00:00:00"/>
    <s v="F86666"/>
    <n v="11870"/>
    <n v="879"/>
    <n v="835"/>
    <n v="568"/>
    <n v="304"/>
    <n v="34"/>
    <n v="120"/>
    <n v="108"/>
    <n v="92"/>
    <n v="103"/>
    <n v="568"/>
    <n v="433"/>
    <n v="418"/>
    <n v="426"/>
    <n v="1815"/>
    <n v="975"/>
    <n v="840"/>
    <n v="331"/>
    <n v="313"/>
    <n v="165"/>
    <n v="421"/>
    <n v="225"/>
    <n v="51"/>
    <s v="WF-5"/>
    <s v="South Leytonstone"/>
    <x v="28"/>
  </r>
  <r>
    <s v="WF_LTC_SNS"/>
    <x v="5"/>
    <d v="2022-03-02T00:00:00"/>
    <s v="F86679"/>
    <n v="4713"/>
    <n v="239"/>
    <n v="221"/>
    <n v="214"/>
    <n v="161"/>
    <n v="44"/>
    <n v="30"/>
    <n v="28"/>
    <n v="28"/>
    <n v="25"/>
    <n v="208"/>
    <n v="166"/>
    <n v="161"/>
    <n v="158"/>
    <n v="465"/>
    <n v="276"/>
    <n v="189"/>
    <n v="40"/>
    <n v="87"/>
    <n v="52"/>
    <n v="139"/>
    <n v="73"/>
    <n v="17"/>
    <s v="WF-7"/>
    <s v="Walthamstow West"/>
    <x v="29"/>
  </r>
  <r>
    <s v="WF_LTC_SNS"/>
    <x v="5"/>
    <d v="2022-03-02T00:00:00"/>
    <s v="F86689"/>
    <n v="3236"/>
    <n v="127"/>
    <n v="113"/>
    <n v="85"/>
    <n v="74"/>
    <n v="10"/>
    <n v="44"/>
    <n v="38"/>
    <n v="5"/>
    <n v="21"/>
    <n v="191"/>
    <n v="127"/>
    <n v="116"/>
    <n v="113"/>
    <n v="297"/>
    <n v="182"/>
    <n v="115"/>
    <n v="41"/>
    <n v="77"/>
    <n v="45"/>
    <n v="110"/>
    <n v="50"/>
    <n v="10"/>
    <s v="WF-1"/>
    <s v="Chingford/ Walthamstow"/>
    <x v="30"/>
  </r>
  <r>
    <s v="WF_LTC_SNS"/>
    <x v="5"/>
    <d v="2022-03-02T00:00:00"/>
    <s v="F86696"/>
    <n v="5517"/>
    <n v="357"/>
    <n v="341"/>
    <n v="275"/>
    <n v="121"/>
    <n v="17"/>
    <n v="25"/>
    <n v="21"/>
    <n v="15"/>
    <n v="21"/>
    <n v="241"/>
    <n v="187"/>
    <n v="184"/>
    <n v="183"/>
    <n v="577"/>
    <n v="348"/>
    <n v="229"/>
    <n v="101"/>
    <n v="145"/>
    <n v="90"/>
    <n v="203"/>
    <n v="99"/>
    <n v="8"/>
    <s v="WF-4"/>
    <s v="Forest Integrated Health"/>
    <x v="31"/>
  </r>
  <r>
    <s v="WF_LTC_SNS"/>
    <x v="5"/>
    <d v="2022-03-02T00:00:00"/>
    <s v="F86700"/>
    <n v="3043"/>
    <n v="218"/>
    <n v="203"/>
    <n v="177"/>
    <n v="42"/>
    <n v="9"/>
    <n v="106"/>
    <n v="100"/>
    <n v="72"/>
    <n v="31"/>
    <n v="223"/>
    <n v="168"/>
    <n v="166"/>
    <n v="164"/>
    <n v="738"/>
    <n v="552"/>
    <n v="186"/>
    <n v="49"/>
    <n v="206"/>
    <n v="70"/>
    <n v="265"/>
    <n v="159"/>
    <n v="2"/>
    <s v="WF-1"/>
    <s v="Chingford/ Walthamstow"/>
    <x v="32"/>
  </r>
  <r>
    <s v="WF_LTC_SNS"/>
    <x v="5"/>
    <d v="2022-03-02T00:00:00"/>
    <s v="F86701"/>
    <n v="3052"/>
    <n v="268"/>
    <n v="254"/>
    <n v="169"/>
    <n v="192"/>
    <n v="16"/>
    <n v="24"/>
    <n v="20"/>
    <n v="17"/>
    <n v="20"/>
    <n v="132"/>
    <n v="126"/>
    <n v="104"/>
    <n v="106"/>
    <n v="468"/>
    <n v="246"/>
    <n v="222"/>
    <n v="96"/>
    <n v="93"/>
    <n v="48"/>
    <n v="137"/>
    <n v="82"/>
    <n v="3"/>
    <s v="WF-5"/>
    <s v="South Leytonstone"/>
    <x v="33"/>
  </r>
  <r>
    <s v="WF_LTC_SNS"/>
    <x v="5"/>
    <n v="44622"/>
    <s v="F86705"/>
    <n v="2920"/>
    <n v="217"/>
    <n v="206"/>
    <n v="170"/>
    <n v="141"/>
    <n v="13"/>
    <n v="27"/>
    <n v="23"/>
    <n v="19"/>
    <n v="13"/>
    <n v="100"/>
    <n v="88"/>
    <n v="88"/>
    <n v="87"/>
    <n v="340"/>
    <n v="190"/>
    <n v="150"/>
    <n v="38"/>
    <n v="82"/>
    <n v="41"/>
    <n v="120"/>
    <n v="52"/>
    <n v="3"/>
    <s v="WF-5"/>
    <s v="South Leytonstone"/>
    <x v="34"/>
  </r>
  <r>
    <s v="WF_LTC_SNS"/>
    <x v="5"/>
    <n v="44622"/>
    <s v="F86708"/>
    <n v="2163"/>
    <n v="206"/>
    <n v="195"/>
    <n v="142"/>
    <n v="62"/>
    <n v="6"/>
    <n v="17"/>
    <n v="13"/>
    <n v="11"/>
    <n v="12"/>
    <n v="152"/>
    <n v="130"/>
    <n v="129"/>
    <n v="128"/>
    <n v="372"/>
    <n v="166"/>
    <n v="206"/>
    <n v="62"/>
    <n v="84"/>
    <n v="38"/>
    <n v="133"/>
    <n v="60"/>
    <n v="12"/>
    <s v="WF-6"/>
    <s v="Central Walthamstow"/>
    <x v="35"/>
  </r>
  <r>
    <s v="WF_LTC_SNS"/>
    <x v="5"/>
    <n v="44622"/>
    <s v="F86712"/>
    <n v="2782"/>
    <n v="213"/>
    <n v="199"/>
    <n v="90"/>
    <n v="160"/>
    <n v="25"/>
    <n v="12"/>
    <n v="9"/>
    <n v="4"/>
    <n v="9"/>
    <n v="98"/>
    <n v="75"/>
    <n v="73"/>
    <n v="74"/>
    <n v="341"/>
    <n v="188"/>
    <n v="153"/>
    <n v="72"/>
    <n v="63"/>
    <n v="29"/>
    <n v="135"/>
    <n v="55"/>
    <n v="4"/>
    <s v="WF-4"/>
    <s v="Forest Integrated Health"/>
    <x v="36"/>
  </r>
  <r>
    <s v="WF_LTC_SNS"/>
    <x v="5"/>
    <n v="44622"/>
    <s v="Y01291"/>
    <n v="7125"/>
    <n v="497"/>
    <n v="465"/>
    <n v="346"/>
    <n v="140"/>
    <n v="12"/>
    <n v="111"/>
    <n v="92"/>
    <n v="28"/>
    <n v="52"/>
    <n v="455"/>
    <n v="328"/>
    <n v="321"/>
    <n v="321"/>
    <n v="1249"/>
    <n v="792"/>
    <n v="457"/>
    <n v="245"/>
    <n v="324"/>
    <n v="159"/>
    <n v="517"/>
    <n v="171"/>
    <n v="15"/>
    <s v="WF-2"/>
    <s v="Chingford E4"/>
    <x v="37"/>
  </r>
  <r>
    <s v="WF_LTC_SNS"/>
    <x v="5"/>
    <n v="44622"/>
    <s v="Y01839"/>
    <n v="4837"/>
    <n v="414"/>
    <n v="388"/>
    <n v="168"/>
    <n v="272"/>
    <n v="24"/>
    <n v="76"/>
    <n v="34"/>
    <n v="17"/>
    <n v="20"/>
    <n v="315"/>
    <n v="144"/>
    <n v="134"/>
    <n v="129"/>
    <n v="706"/>
    <n v="255"/>
    <n v="451"/>
    <n v="53"/>
    <n v="163"/>
    <n v="86"/>
    <n v="260"/>
    <n v="97"/>
    <n v="10"/>
    <s v="WF-1"/>
    <s v="Chingford/ Walthamstow"/>
    <x v="38"/>
  </r>
  <r>
    <s v="WF_LTC_SNS"/>
    <x v="6"/>
    <n v="44664"/>
    <s v="F86001"/>
    <n v="6202"/>
    <n v="553"/>
    <n v="523"/>
    <n v="363"/>
    <n v="360"/>
    <n v="45"/>
    <n v="83"/>
    <n v="36"/>
    <n v="33"/>
    <n v="25"/>
    <n v="370"/>
    <n v="252"/>
    <n v="232"/>
    <n v="237"/>
    <n v="895"/>
    <n v="477"/>
    <n v="418"/>
    <n v="141"/>
    <n v="232"/>
    <n v="111"/>
    <n v="326"/>
    <n v="145"/>
    <n v="30"/>
    <s v="WF-6"/>
    <s v="Central Walthamstow"/>
    <x v="5"/>
  </r>
  <r>
    <s v="WF_LTC_SNS"/>
    <x v="6"/>
    <n v="44664"/>
    <s v="F86005"/>
    <n v="7294"/>
    <n v="362"/>
    <n v="333"/>
    <n v="194"/>
    <n v="231"/>
    <n v="40"/>
    <n v="104"/>
    <n v="81"/>
    <n v="13"/>
    <n v="61"/>
    <n v="386"/>
    <n v="192"/>
    <n v="178"/>
    <n v="182"/>
    <n v="807"/>
    <n v="427"/>
    <n v="380"/>
    <n v="107"/>
    <n v="156"/>
    <n v="83"/>
    <n v="269"/>
    <n v="143"/>
    <n v="10"/>
    <s v="WF-1"/>
    <s v="Chingford/ Walthamstow"/>
    <x v="6"/>
  </r>
  <r>
    <s v="WF_LTC_SNS"/>
    <x v="6"/>
    <n v="44664"/>
    <s v="F86006"/>
    <n v="5360"/>
    <n v="445"/>
    <n v="423"/>
    <n v="303"/>
    <n v="291"/>
    <n v="34"/>
    <n v="55"/>
    <n v="10"/>
    <n v="2"/>
    <n v="6"/>
    <n v="244"/>
    <n v="122"/>
    <n v="121"/>
    <n v="120"/>
    <n v="850"/>
    <n v="355"/>
    <n v="495"/>
    <n v="194"/>
    <n v="170"/>
    <n v="107"/>
    <n v="284"/>
    <n v="128"/>
    <n v="20"/>
    <s v="WF-7"/>
    <s v="Walthamstow West"/>
    <x v="7"/>
  </r>
  <r>
    <s v="WF_LTC_SNS"/>
    <x v="6"/>
    <n v="44664"/>
    <s v="F86011"/>
    <n v="7813"/>
    <n v="747"/>
    <n v="706"/>
    <n v="558"/>
    <n v="454"/>
    <n v="68"/>
    <n v="93"/>
    <n v="85"/>
    <n v="67"/>
    <n v="74"/>
    <n v="325"/>
    <n v="273"/>
    <n v="264"/>
    <n v="264"/>
    <n v="1139"/>
    <n v="593"/>
    <n v="546"/>
    <n v="196"/>
    <n v="359"/>
    <n v="192"/>
    <n v="509"/>
    <n v="226"/>
    <n v="58"/>
    <s v="WF-3"/>
    <s v="Leyton Collaborative"/>
    <x v="8"/>
  </r>
  <r>
    <s v="WF_LTC_SNS"/>
    <x v="6"/>
    <n v="44664"/>
    <s v="F86030"/>
    <n v="6306"/>
    <n v="556"/>
    <n v="538"/>
    <n v="489"/>
    <n v="454"/>
    <n v="141"/>
    <n v="38"/>
    <n v="34"/>
    <n v="29"/>
    <n v="33"/>
    <n v="357"/>
    <n v="309"/>
    <n v="305"/>
    <n v="302"/>
    <n v="739"/>
    <n v="544"/>
    <n v="195"/>
    <n v="89"/>
    <n v="199"/>
    <n v="131"/>
    <n v="329"/>
    <n v="156"/>
    <n v="21"/>
    <s v="WF-7"/>
    <s v="Walthamstow West"/>
    <x v="9"/>
  </r>
  <r>
    <s v="WF_LTC_SNS"/>
    <x v="6"/>
    <n v="44664"/>
    <s v="F86036"/>
    <n v="11555"/>
    <n v="787"/>
    <n v="727"/>
    <n v="547"/>
    <n v="524"/>
    <n v="80"/>
    <n v="105"/>
    <n v="92"/>
    <n v="89"/>
    <n v="89"/>
    <n v="614"/>
    <n v="413"/>
    <n v="410"/>
    <n v="407"/>
    <n v="1418"/>
    <n v="705"/>
    <n v="713"/>
    <n v="140"/>
    <n v="359"/>
    <n v="175"/>
    <n v="555"/>
    <n v="218"/>
    <n v="4"/>
    <s v="WF-4"/>
    <s v="Forest Integrated Health"/>
    <x v="10"/>
  </r>
  <r>
    <s v="WF_LTC_SNS"/>
    <x v="6"/>
    <n v="44664"/>
    <s v="F86038"/>
    <n v="8209"/>
    <n v="797"/>
    <n v="767"/>
    <n v="698"/>
    <n v="525"/>
    <n v="110"/>
    <n v="46"/>
    <n v="43"/>
    <n v="37"/>
    <n v="43"/>
    <n v="457"/>
    <n v="392"/>
    <n v="385"/>
    <n v="376"/>
    <n v="1067"/>
    <n v="685"/>
    <n v="382"/>
    <n v="150"/>
    <n v="346"/>
    <n v="200"/>
    <n v="445"/>
    <n v="171"/>
    <n v="60"/>
    <s v="WF-3"/>
    <s v="Leyton Collaborative"/>
    <x v="11"/>
  </r>
  <r>
    <s v="WF_LTC_SNS"/>
    <x v="6"/>
    <n v="44664"/>
    <s v="F86044"/>
    <n v="8734"/>
    <n v="430"/>
    <n v="393"/>
    <n v="325"/>
    <n v="248"/>
    <n v="33"/>
    <n v="35"/>
    <n v="29"/>
    <n v="23"/>
    <n v="28"/>
    <n v="330"/>
    <n v="281"/>
    <n v="278"/>
    <n v="280"/>
    <n v="764"/>
    <n v="391"/>
    <n v="373"/>
    <n v="78"/>
    <n v="150"/>
    <n v="86"/>
    <n v="276"/>
    <n v="143"/>
    <n v="3"/>
    <s v="WF-4"/>
    <s v="Forest Integrated Health"/>
    <x v="12"/>
  </r>
  <r>
    <s v="WF_LTC_SNS"/>
    <x v="6"/>
    <n v="44664"/>
    <s v="F86045"/>
    <n v="1693"/>
    <n v="135"/>
    <n v="131"/>
    <n v="115"/>
    <n v="102"/>
    <n v="25"/>
    <n v="20"/>
    <n v="19"/>
    <n v="17"/>
    <n v="8"/>
    <n v="83"/>
    <n v="62"/>
    <n v="62"/>
    <n v="62"/>
    <n v="261"/>
    <n v="139"/>
    <n v="122"/>
    <n v="17"/>
    <n v="69"/>
    <n v="32"/>
    <n v="79"/>
    <n v="25"/>
    <n v="5"/>
    <s v="WF-5"/>
    <s v="South Leytonstone"/>
    <x v="13"/>
  </r>
  <r>
    <s v="WF_LTC_SNS"/>
    <x v="6"/>
    <n v="44664"/>
    <s v="F86058"/>
    <n v="12833"/>
    <n v="774"/>
    <n v="717"/>
    <n v="537"/>
    <n v="573"/>
    <n v="91"/>
    <n v="107"/>
    <n v="83"/>
    <n v="68"/>
    <n v="77"/>
    <n v="565"/>
    <n v="268"/>
    <n v="255"/>
    <n v="257"/>
    <n v="1473"/>
    <n v="918"/>
    <n v="555"/>
    <n v="197"/>
    <n v="320"/>
    <n v="176"/>
    <n v="502"/>
    <n v="253"/>
    <n v="22"/>
    <s v="WF-7"/>
    <s v="Walthamstow West"/>
    <x v="14"/>
  </r>
  <r>
    <s v="WF_LTC_SNS"/>
    <x v="6"/>
    <n v="44664"/>
    <s v="F86062"/>
    <n v="5695"/>
    <n v="452"/>
    <n v="425"/>
    <n v="189"/>
    <n v="328"/>
    <n v="33"/>
    <n v="61"/>
    <n v="44"/>
    <n v="16"/>
    <n v="36"/>
    <n v="271"/>
    <n v="127"/>
    <n v="107"/>
    <n v="112"/>
    <n v="804"/>
    <n v="332"/>
    <n v="472"/>
    <n v="94"/>
    <n v="194"/>
    <n v="115"/>
    <n v="284"/>
    <n v="146"/>
    <n v="42"/>
    <s v="WF-7"/>
    <s v="Walthamstow West"/>
    <x v="15"/>
  </r>
  <r>
    <s v="WF_LTC_SNS"/>
    <x v="6"/>
    <n v="44664"/>
    <s v="F86078"/>
    <n v="5687"/>
    <n v="341"/>
    <n v="315"/>
    <n v="157"/>
    <n v="141"/>
    <n v="12"/>
    <n v="74"/>
    <n v="34"/>
    <n v="2"/>
    <n v="27"/>
    <n v="326"/>
    <n v="201"/>
    <n v="200"/>
    <n v="200"/>
    <n v="1077"/>
    <n v="452"/>
    <n v="625"/>
    <n v="64"/>
    <n v="287"/>
    <n v="128"/>
    <n v="488"/>
    <n v="291"/>
    <n v="10"/>
    <s v="WF-2"/>
    <s v="Chingford E4"/>
    <x v="16"/>
  </r>
  <r>
    <s v="WF_LTC_SNS"/>
    <x v="6"/>
    <n v="44664"/>
    <s v="F86086"/>
    <n v="4578"/>
    <n v="321"/>
    <n v="309"/>
    <n v="183"/>
    <n v="110"/>
    <n v="9"/>
    <n v="30"/>
    <n v="18"/>
    <n v="5"/>
    <n v="14"/>
    <n v="204"/>
    <n v="118"/>
    <n v="116"/>
    <n v="116"/>
    <n v="500"/>
    <n v="222"/>
    <n v="278"/>
    <n v="39"/>
    <n v="133"/>
    <n v="75"/>
    <n v="188"/>
    <n v="89"/>
    <n v="7"/>
    <s v="WF-6"/>
    <s v="Central Walthamstow"/>
    <x v="17"/>
  </r>
  <r>
    <s v="WF_LTC_SNS"/>
    <x v="6"/>
    <n v="44664"/>
    <s v="F86088"/>
    <n v="4175"/>
    <n v="372"/>
    <n v="356"/>
    <n v="179"/>
    <n v="141"/>
    <n v="24"/>
    <n v="36"/>
    <n v="21"/>
    <n v="0"/>
    <n v="18"/>
    <n v="230"/>
    <n v="202"/>
    <n v="197"/>
    <n v="197"/>
    <n v="677"/>
    <n v="322"/>
    <n v="355"/>
    <n v="55"/>
    <n v="132"/>
    <n v="68"/>
    <n v="210"/>
    <n v="114"/>
    <n v="1"/>
    <s v="WF-4"/>
    <s v="Forest Integrated Health"/>
    <x v="18"/>
  </r>
  <r>
    <s v="WF_LTC_SNS"/>
    <x v="6"/>
    <n v="44664"/>
    <s v="F86607"/>
    <n v="11854"/>
    <n v="692"/>
    <n v="655"/>
    <n v="476"/>
    <n v="231"/>
    <n v="24"/>
    <n v="88"/>
    <n v="72"/>
    <n v="49"/>
    <n v="62"/>
    <n v="713"/>
    <n v="474"/>
    <n v="462"/>
    <n v="473"/>
    <n v="1311"/>
    <n v="653"/>
    <n v="658"/>
    <n v="234"/>
    <n v="316"/>
    <n v="159"/>
    <n v="448"/>
    <n v="207"/>
    <n v="8"/>
    <s v="WF-6"/>
    <s v="Central Walthamstow"/>
    <x v="19"/>
  </r>
  <r>
    <s v="WF_LTC_SNS"/>
    <x v="6"/>
    <n v="44664"/>
    <s v="F86616"/>
    <n v="6045"/>
    <n v="380"/>
    <n v="354"/>
    <n v="319"/>
    <n v="125"/>
    <n v="34"/>
    <n v="68"/>
    <n v="42"/>
    <n v="24"/>
    <n v="10"/>
    <n v="405"/>
    <n v="273"/>
    <n v="266"/>
    <n v="264"/>
    <n v="846"/>
    <n v="630"/>
    <n v="216"/>
    <n v="113"/>
    <n v="241"/>
    <n v="118"/>
    <n v="400"/>
    <n v="208"/>
    <n v="21"/>
    <s v="WF-2"/>
    <s v="Chingford E4"/>
    <x v="20"/>
  </r>
  <r>
    <s v="WF_LTC_SNS"/>
    <x v="6"/>
    <n v="44664"/>
    <s v="F86621"/>
    <n v="5335"/>
    <n v="322"/>
    <n v="304"/>
    <n v="208"/>
    <n v="246"/>
    <n v="53"/>
    <n v="28"/>
    <n v="24"/>
    <n v="20"/>
    <n v="24"/>
    <n v="257"/>
    <n v="160"/>
    <n v="159"/>
    <n v="158"/>
    <n v="596"/>
    <n v="291"/>
    <n v="305"/>
    <n v="48"/>
    <n v="158"/>
    <n v="70"/>
    <n v="278"/>
    <n v="124"/>
    <n v="19"/>
    <s v="WF-5"/>
    <s v="South Leytonstone"/>
    <x v="21"/>
  </r>
  <r>
    <s v="WF_LTC_SNS"/>
    <x v="6"/>
    <n v="44664"/>
    <s v="F86625"/>
    <n v="4678"/>
    <n v="431"/>
    <n v="409"/>
    <n v="289"/>
    <n v="262"/>
    <n v="43"/>
    <n v="50"/>
    <n v="41"/>
    <n v="21"/>
    <n v="33"/>
    <n v="234"/>
    <n v="154"/>
    <n v="147"/>
    <n v="152"/>
    <n v="685"/>
    <n v="336"/>
    <n v="349"/>
    <n v="156"/>
    <n v="201"/>
    <n v="92"/>
    <n v="282"/>
    <n v="137"/>
    <n v="14"/>
    <s v="WF-5"/>
    <s v="South Leytonstone"/>
    <x v="22"/>
  </r>
  <r>
    <s v="WF_LTC_SNS"/>
    <x v="6"/>
    <n v="44664"/>
    <s v="F86626"/>
    <n v="5457"/>
    <n v="310"/>
    <n v="297"/>
    <n v="161"/>
    <n v="220"/>
    <n v="20"/>
    <n v="26"/>
    <n v="8"/>
    <n v="1"/>
    <n v="4"/>
    <n v="199"/>
    <n v="135"/>
    <n v="121"/>
    <n v="113"/>
    <n v="544"/>
    <n v="236"/>
    <n v="308"/>
    <n v="58"/>
    <n v="113"/>
    <n v="54"/>
    <n v="179"/>
    <n v="100"/>
    <n v="5"/>
    <s v="WF-1"/>
    <s v="Chingford/ Walthamstow"/>
    <x v="23"/>
  </r>
  <r>
    <s v="WF_LTC_SNS"/>
    <x v="6"/>
    <n v="44664"/>
    <s v="F86627"/>
    <n v="10588"/>
    <n v="818"/>
    <n v="768"/>
    <n v="497"/>
    <n v="222"/>
    <n v="24"/>
    <n v="223"/>
    <n v="190"/>
    <n v="72"/>
    <n v="137"/>
    <n v="714"/>
    <n v="537"/>
    <n v="521"/>
    <n v="529"/>
    <n v="1831"/>
    <n v="1046"/>
    <n v="785"/>
    <n v="348"/>
    <n v="577"/>
    <n v="257"/>
    <n v="825"/>
    <n v="373"/>
    <n v="94"/>
    <s v="WF-2"/>
    <s v="Chingford E4"/>
    <x v="24"/>
  </r>
  <r>
    <s v="WF_LTC_SNS"/>
    <x v="6"/>
    <n v="44664"/>
    <s v="F86644"/>
    <n v="7066"/>
    <n v="517"/>
    <n v="492"/>
    <n v="285"/>
    <n v="358"/>
    <n v="35"/>
    <n v="88"/>
    <n v="58"/>
    <n v="47"/>
    <n v="55"/>
    <n v="353"/>
    <n v="143"/>
    <n v="130"/>
    <n v="130"/>
    <n v="1096"/>
    <n v="488"/>
    <n v="608"/>
    <n v="126"/>
    <n v="259"/>
    <n v="126"/>
    <n v="401"/>
    <n v="175"/>
    <n v="9"/>
    <s v="WF-6"/>
    <s v="Central Walthamstow"/>
    <x v="25"/>
  </r>
  <r>
    <s v="WF_LTC_SNS"/>
    <x v="6"/>
    <n v="44664"/>
    <s v="F86650"/>
    <n v="6361"/>
    <n v="514"/>
    <n v="490"/>
    <n v="290"/>
    <n v="359"/>
    <n v="44"/>
    <n v="57"/>
    <n v="44"/>
    <n v="36"/>
    <n v="39"/>
    <n v="324"/>
    <n v="235"/>
    <n v="235"/>
    <n v="235"/>
    <n v="688"/>
    <n v="329"/>
    <n v="359"/>
    <n v="94"/>
    <n v="192"/>
    <n v="91"/>
    <n v="318"/>
    <n v="133"/>
    <n v="0"/>
    <s v="WF-4"/>
    <s v="Forest Integrated Health"/>
    <x v="26"/>
  </r>
  <r>
    <s v="WF_LTC_SNS"/>
    <x v="6"/>
    <n v="44664"/>
    <s v="F86664"/>
    <n v="6563"/>
    <n v="424"/>
    <n v="387"/>
    <n v="225"/>
    <n v="277"/>
    <n v="31"/>
    <n v="96"/>
    <n v="82"/>
    <n v="58"/>
    <n v="73"/>
    <n v="332"/>
    <n v="224"/>
    <n v="214"/>
    <n v="212"/>
    <n v="876"/>
    <n v="469"/>
    <n v="407"/>
    <n v="23"/>
    <n v="269"/>
    <n v="95"/>
    <n v="398"/>
    <n v="203"/>
    <n v="9"/>
    <s v="WF-1"/>
    <s v="Chingford/ Walthamstow"/>
    <x v="27"/>
  </r>
  <r>
    <s v="WF_LTC_SNS"/>
    <x v="6"/>
    <n v="44664"/>
    <s v="F86666"/>
    <n v="11904"/>
    <n v="883"/>
    <n v="838"/>
    <n v="607"/>
    <n v="305"/>
    <n v="32"/>
    <n v="123"/>
    <n v="110"/>
    <n v="92"/>
    <n v="105"/>
    <n v="571"/>
    <n v="441"/>
    <n v="428"/>
    <n v="433"/>
    <n v="1822"/>
    <n v="1012"/>
    <n v="810"/>
    <n v="341"/>
    <n v="313"/>
    <n v="166"/>
    <n v="430"/>
    <n v="231"/>
    <n v="59"/>
    <s v="WF-5"/>
    <s v="South Leytonstone"/>
    <x v="28"/>
  </r>
  <r>
    <s v="WF_LTC_SNS"/>
    <x v="6"/>
    <n v="44664"/>
    <s v="F86679"/>
    <n v="4725"/>
    <n v="241"/>
    <n v="223"/>
    <n v="214"/>
    <n v="171"/>
    <n v="44"/>
    <n v="32"/>
    <n v="29"/>
    <n v="29"/>
    <n v="25"/>
    <n v="213"/>
    <n v="169"/>
    <n v="162"/>
    <n v="160"/>
    <n v="463"/>
    <n v="290"/>
    <n v="173"/>
    <n v="36"/>
    <n v="85"/>
    <n v="49"/>
    <n v="136"/>
    <n v="71"/>
    <n v="17"/>
    <s v="WF-7"/>
    <s v="Walthamstow West"/>
    <x v="29"/>
  </r>
  <r>
    <s v="WF_LTC_SNS"/>
    <x v="6"/>
    <n v="44664"/>
    <s v="F86689"/>
    <n v="3253"/>
    <n v="127"/>
    <n v="114"/>
    <n v="85"/>
    <n v="73"/>
    <n v="9"/>
    <n v="44"/>
    <n v="38"/>
    <n v="4"/>
    <n v="21"/>
    <n v="188"/>
    <n v="130"/>
    <n v="117"/>
    <n v="119"/>
    <n v="297"/>
    <n v="196"/>
    <n v="101"/>
    <n v="38"/>
    <n v="77"/>
    <n v="45"/>
    <n v="113"/>
    <n v="50"/>
    <n v="11"/>
    <s v="WF-1"/>
    <s v="Chingford/ Walthamstow"/>
    <x v="30"/>
  </r>
  <r>
    <s v="WF_LTC_SNS"/>
    <x v="6"/>
    <n v="44664"/>
    <s v="F86696"/>
    <n v="5550"/>
    <n v="359"/>
    <n v="343"/>
    <n v="274"/>
    <n v="140"/>
    <n v="21"/>
    <n v="25"/>
    <n v="20"/>
    <n v="14"/>
    <n v="20"/>
    <n v="240"/>
    <n v="177"/>
    <n v="174"/>
    <n v="174"/>
    <n v="585"/>
    <n v="340"/>
    <n v="245"/>
    <n v="105"/>
    <n v="143"/>
    <n v="91"/>
    <n v="206"/>
    <n v="97"/>
    <n v="1"/>
    <s v="WF-4"/>
    <s v="Forest Integrated Health"/>
    <x v="31"/>
  </r>
  <r>
    <s v="WF_LTC_SNS"/>
    <x v="6"/>
    <n v="44664"/>
    <s v="F86700"/>
    <n v="3093"/>
    <n v="220"/>
    <n v="205"/>
    <n v="179"/>
    <n v="45"/>
    <n v="10"/>
    <n v="105"/>
    <n v="98"/>
    <n v="71"/>
    <n v="32"/>
    <n v="226"/>
    <n v="168"/>
    <n v="166"/>
    <n v="164"/>
    <n v="738"/>
    <n v="544"/>
    <n v="194"/>
    <n v="55"/>
    <n v="207"/>
    <n v="70"/>
    <n v="268"/>
    <n v="163"/>
    <n v="6"/>
    <s v="WF-1"/>
    <s v="Chingford/ Walthamstow"/>
    <x v="32"/>
  </r>
  <r>
    <s v="WF_LTC_SNS"/>
    <x v="6"/>
    <n v="44664"/>
    <s v="F86701"/>
    <n v="3066"/>
    <n v="268"/>
    <n v="255"/>
    <n v="173"/>
    <n v="196"/>
    <n v="24"/>
    <n v="24"/>
    <n v="20"/>
    <n v="17"/>
    <n v="20"/>
    <n v="134"/>
    <n v="123"/>
    <n v="96"/>
    <n v="99"/>
    <n v="466"/>
    <n v="236"/>
    <n v="230"/>
    <n v="97"/>
    <n v="91"/>
    <n v="46"/>
    <n v="135"/>
    <n v="84"/>
    <n v="5"/>
    <s v="WF-5"/>
    <s v="South Leytonstone"/>
    <x v="33"/>
  </r>
  <r>
    <s v="WF_LTC_SNS"/>
    <x v="6"/>
    <n v="44664"/>
    <s v="F86705"/>
    <n v="2900"/>
    <n v="213"/>
    <n v="201"/>
    <n v="175"/>
    <n v="139"/>
    <n v="13"/>
    <n v="27"/>
    <n v="23"/>
    <n v="19"/>
    <n v="13"/>
    <n v="99"/>
    <n v="88"/>
    <n v="88"/>
    <n v="87"/>
    <n v="337"/>
    <n v="195"/>
    <n v="142"/>
    <n v="46"/>
    <n v="80"/>
    <n v="41"/>
    <n v="120"/>
    <n v="49"/>
    <n v="7"/>
    <s v="WF-5"/>
    <s v="South Leytonstone"/>
    <x v="34"/>
  </r>
  <r>
    <s v="WF_LTC_SNS"/>
    <x v="6"/>
    <n v="44664"/>
    <s v="F86708"/>
    <n v="2159"/>
    <n v="204"/>
    <n v="195"/>
    <n v="140"/>
    <n v="83"/>
    <n v="8"/>
    <n v="17"/>
    <n v="13"/>
    <n v="11"/>
    <n v="12"/>
    <n v="149"/>
    <n v="129"/>
    <n v="128"/>
    <n v="127"/>
    <n v="369"/>
    <n v="163"/>
    <n v="206"/>
    <n v="61"/>
    <n v="84"/>
    <n v="38"/>
    <n v="134"/>
    <n v="57"/>
    <n v="9"/>
    <s v="WF-6"/>
    <s v="Central Walthamstow"/>
    <x v="35"/>
  </r>
  <r>
    <s v="WF_LTC_SNS"/>
    <x v="6"/>
    <n v="44664"/>
    <s v="F86712"/>
    <n v="2808"/>
    <n v="221"/>
    <n v="206"/>
    <n v="91"/>
    <n v="163"/>
    <n v="22"/>
    <n v="14"/>
    <n v="10"/>
    <n v="5"/>
    <n v="10"/>
    <n v="96"/>
    <n v="72"/>
    <n v="71"/>
    <n v="71"/>
    <n v="351"/>
    <n v="194"/>
    <n v="157"/>
    <n v="70"/>
    <n v="63"/>
    <n v="29"/>
    <n v="135"/>
    <n v="54"/>
    <n v="4"/>
    <s v="WF-4"/>
    <s v="Forest Integrated Health"/>
    <x v="36"/>
  </r>
  <r>
    <s v="WF_LTC_SNS"/>
    <x v="6"/>
    <n v="44664"/>
    <s v="Y01291"/>
    <n v="7143"/>
    <n v="501"/>
    <n v="469"/>
    <n v="357"/>
    <n v="142"/>
    <n v="13"/>
    <n v="113"/>
    <n v="93"/>
    <n v="28"/>
    <n v="52"/>
    <n v="453"/>
    <n v="331"/>
    <n v="325"/>
    <n v="323"/>
    <n v="1327"/>
    <n v="808"/>
    <n v="519"/>
    <n v="285"/>
    <n v="323"/>
    <n v="160"/>
    <n v="519"/>
    <n v="172"/>
    <n v="16"/>
    <s v="WF-2"/>
    <s v="Chingford E4"/>
    <x v="37"/>
  </r>
  <r>
    <s v="WF_LTC_SNS"/>
    <x v="6"/>
    <n v="44664"/>
    <s v="Y01839"/>
    <n v="4824"/>
    <n v="417"/>
    <n v="391"/>
    <n v="159"/>
    <n v="263"/>
    <n v="20"/>
    <n v="77"/>
    <n v="36"/>
    <n v="19"/>
    <n v="23"/>
    <n v="310"/>
    <n v="166"/>
    <n v="160"/>
    <n v="156"/>
    <n v="705"/>
    <n v="247"/>
    <n v="458"/>
    <n v="60"/>
    <n v="165"/>
    <n v="87"/>
    <n v="257"/>
    <n v="97"/>
    <n v="8"/>
    <s v="WF-1"/>
    <s v="Chingford/ Walthamstow"/>
    <x v="38"/>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B7EE768D-F035-4460-9E70-3EE171FECBEF}" name="PivotTable10" cacheId="2024"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chartFormat="5">
  <location ref="L30:P46" firstHeaderRow="1" firstDataRow="3" firstDataCol="1"/>
  <pivotFields count="54">
    <pivotField showAll="0"/>
    <pivotField axis="axisRow" numFmtId="14" showAll="0">
      <items count="14">
        <item x="7"/>
        <item x="8"/>
        <item x="9"/>
        <item x="10"/>
        <item x="11"/>
        <item x="12"/>
        <item x="0"/>
        <item x="1"/>
        <item x="2"/>
        <item x="3"/>
        <item x="4"/>
        <item x="5"/>
        <item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showAll="0">
      <items count="40">
        <item x="12"/>
        <item h="1" x="5"/>
        <item h="1" x="6"/>
        <item h="1" x="19"/>
        <item h="1" x="37"/>
        <item h="1" x="24"/>
        <item h="1" x="35"/>
        <item h="1" x="17"/>
        <item h="1" x="23"/>
        <item h="1" x="2"/>
        <item h="1" x="31"/>
        <item h="1" x="21"/>
        <item h="1" x="15"/>
        <item h="1" x="36"/>
        <item h="1" x="0"/>
        <item h="1" x="13"/>
        <item h="1" x="29"/>
        <item h="1" x="32"/>
        <item h="1" x="33"/>
        <item h="1" x="27"/>
        <item h="1" x="3"/>
        <item h="1" x="38"/>
        <item h="1" x="26"/>
        <item h="1" x="22"/>
        <item h="1" x="20"/>
        <item h="1" x="9"/>
        <item h="1" x="7"/>
        <item h="1" x="11"/>
        <item h="1" x="14"/>
        <item h="1" x="10"/>
        <item h="1" x="30"/>
        <item h="1" x="1"/>
        <item h="1" x="28"/>
        <item h="1" x="34"/>
        <item h="1" x="18"/>
        <item h="1" x="8"/>
        <item h="1" x="4"/>
        <item h="1" x="16"/>
        <item h="1" x="25"/>
        <item t="default"/>
      </items>
    </pivotField>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1"/>
  </rowFields>
  <rowItems count="14">
    <i>
      <x/>
    </i>
    <i>
      <x v="1"/>
    </i>
    <i>
      <x v="2"/>
    </i>
    <i>
      <x v="3"/>
    </i>
    <i>
      <x v="4"/>
    </i>
    <i>
      <x v="5"/>
    </i>
    <i>
      <x v="6"/>
    </i>
    <i>
      <x v="7"/>
    </i>
    <i>
      <x v="8"/>
    </i>
    <i>
      <x v="9"/>
    </i>
    <i>
      <x v="10"/>
    </i>
    <i>
      <x v="11"/>
    </i>
    <i>
      <x v="12"/>
    </i>
    <i t="grand">
      <x/>
    </i>
  </rowItems>
  <colFields count="2">
    <field x="29"/>
    <field x="-2"/>
  </colFields>
  <colItems count="4">
    <i>
      <x/>
      <x/>
    </i>
    <i r="1" i="1">
      <x v="1"/>
    </i>
    <i t="grand">
      <x/>
    </i>
    <i t="grand" i="1">
      <x/>
    </i>
  </colItems>
  <dataFields count="2">
    <dataField name="Diabetes Review %" fld="30" baseField="1" baseItem="0"/>
    <dataField name="Target 60%" fld="34" baseField="1" baseItem="0"/>
  </dataFields>
  <chartFormats count="78">
    <chartFormat chart="2" format="78" series="1">
      <pivotArea type="data" outline="0" fieldPosition="0">
        <references count="2">
          <reference field="4294967294" count="1" selected="0">
            <x v="0"/>
          </reference>
          <reference field="29" count="1" selected="0">
            <x v="0"/>
          </reference>
        </references>
      </pivotArea>
    </chartFormat>
    <chartFormat chart="2" format="79" series="1">
      <pivotArea type="data" outline="0" fieldPosition="0">
        <references count="2">
          <reference field="4294967294" count="1" selected="0">
            <x v="0"/>
          </reference>
          <reference field="29" count="1" selected="0">
            <x v="1"/>
          </reference>
        </references>
      </pivotArea>
    </chartFormat>
    <chartFormat chart="2" format="80" series="1">
      <pivotArea type="data" outline="0" fieldPosition="0">
        <references count="2">
          <reference field="4294967294" count="1" selected="0">
            <x v="0"/>
          </reference>
          <reference field="29" count="1" selected="0">
            <x v="2"/>
          </reference>
        </references>
      </pivotArea>
    </chartFormat>
    <chartFormat chart="2" format="81" series="1">
      <pivotArea type="data" outline="0" fieldPosition="0">
        <references count="2">
          <reference field="4294967294" count="1" selected="0">
            <x v="0"/>
          </reference>
          <reference field="29" count="1" selected="0">
            <x v="3"/>
          </reference>
        </references>
      </pivotArea>
    </chartFormat>
    <chartFormat chart="2" format="82" series="1">
      <pivotArea type="data" outline="0" fieldPosition="0">
        <references count="2">
          <reference field="4294967294" count="1" selected="0">
            <x v="0"/>
          </reference>
          <reference field="29" count="1" selected="0">
            <x v="4"/>
          </reference>
        </references>
      </pivotArea>
    </chartFormat>
    <chartFormat chart="2" format="83" series="1">
      <pivotArea type="data" outline="0" fieldPosition="0">
        <references count="2">
          <reference field="4294967294" count="1" selected="0">
            <x v="0"/>
          </reference>
          <reference field="29" count="1" selected="0">
            <x v="5"/>
          </reference>
        </references>
      </pivotArea>
    </chartFormat>
    <chartFormat chart="2" format="84" series="1">
      <pivotArea type="data" outline="0" fieldPosition="0">
        <references count="2">
          <reference field="4294967294" count="1" selected="0">
            <x v="0"/>
          </reference>
          <reference field="29" count="1" selected="0">
            <x v="6"/>
          </reference>
        </references>
      </pivotArea>
    </chartFormat>
    <chartFormat chart="2" format="85" series="1">
      <pivotArea type="data" outline="0" fieldPosition="0">
        <references count="2">
          <reference field="4294967294" count="1" selected="0">
            <x v="0"/>
          </reference>
          <reference field="29" count="1" selected="0">
            <x v="7"/>
          </reference>
        </references>
      </pivotArea>
    </chartFormat>
    <chartFormat chart="2" format="86" series="1">
      <pivotArea type="data" outline="0" fieldPosition="0">
        <references count="2">
          <reference field="4294967294" count="1" selected="0">
            <x v="0"/>
          </reference>
          <reference field="29" count="1" selected="0">
            <x v="8"/>
          </reference>
        </references>
      </pivotArea>
    </chartFormat>
    <chartFormat chart="2" format="87" series="1">
      <pivotArea type="data" outline="0" fieldPosition="0">
        <references count="2">
          <reference field="4294967294" count="1" selected="0">
            <x v="0"/>
          </reference>
          <reference field="29" count="1" selected="0">
            <x v="9"/>
          </reference>
        </references>
      </pivotArea>
    </chartFormat>
    <chartFormat chart="2" format="88" series="1">
      <pivotArea type="data" outline="0" fieldPosition="0">
        <references count="2">
          <reference field="4294967294" count="1" selected="0">
            <x v="0"/>
          </reference>
          <reference field="29" count="1" selected="0">
            <x v="10"/>
          </reference>
        </references>
      </pivotArea>
    </chartFormat>
    <chartFormat chart="2" format="89" series="1">
      <pivotArea type="data" outline="0" fieldPosition="0">
        <references count="2">
          <reference field="4294967294" count="1" selected="0">
            <x v="0"/>
          </reference>
          <reference field="29" count="1" selected="0">
            <x v="11"/>
          </reference>
        </references>
      </pivotArea>
    </chartFormat>
    <chartFormat chart="2" format="90" series="1">
      <pivotArea type="data" outline="0" fieldPosition="0">
        <references count="2">
          <reference field="4294967294" count="1" selected="0">
            <x v="0"/>
          </reference>
          <reference field="29" count="1" selected="0">
            <x v="12"/>
          </reference>
        </references>
      </pivotArea>
    </chartFormat>
    <chartFormat chart="2" format="91" series="1">
      <pivotArea type="data" outline="0" fieldPosition="0">
        <references count="2">
          <reference field="4294967294" count="1" selected="0">
            <x v="0"/>
          </reference>
          <reference field="29" count="1" selected="0">
            <x v="13"/>
          </reference>
        </references>
      </pivotArea>
    </chartFormat>
    <chartFormat chart="2" format="92" series="1">
      <pivotArea type="data" outline="0" fieldPosition="0">
        <references count="2">
          <reference field="4294967294" count="1" selected="0">
            <x v="0"/>
          </reference>
          <reference field="29" count="1" selected="0">
            <x v="14"/>
          </reference>
        </references>
      </pivotArea>
    </chartFormat>
    <chartFormat chart="2" format="93" series="1">
      <pivotArea type="data" outline="0" fieldPosition="0">
        <references count="2">
          <reference field="4294967294" count="1" selected="0">
            <x v="0"/>
          </reference>
          <reference field="29" count="1" selected="0">
            <x v="15"/>
          </reference>
        </references>
      </pivotArea>
    </chartFormat>
    <chartFormat chart="2" format="94" series="1">
      <pivotArea type="data" outline="0" fieldPosition="0">
        <references count="2">
          <reference field="4294967294" count="1" selected="0">
            <x v="0"/>
          </reference>
          <reference field="29" count="1" selected="0">
            <x v="16"/>
          </reference>
        </references>
      </pivotArea>
    </chartFormat>
    <chartFormat chart="2" format="95" series="1">
      <pivotArea type="data" outline="0" fieldPosition="0">
        <references count="2">
          <reference field="4294967294" count="1" selected="0">
            <x v="0"/>
          </reference>
          <reference field="29" count="1" selected="0">
            <x v="17"/>
          </reference>
        </references>
      </pivotArea>
    </chartFormat>
    <chartFormat chart="2" format="96" series="1">
      <pivotArea type="data" outline="0" fieldPosition="0">
        <references count="2">
          <reference field="4294967294" count="1" selected="0">
            <x v="0"/>
          </reference>
          <reference field="29" count="1" selected="0">
            <x v="18"/>
          </reference>
        </references>
      </pivotArea>
    </chartFormat>
    <chartFormat chart="2" format="97" series="1">
      <pivotArea type="data" outline="0" fieldPosition="0">
        <references count="2">
          <reference field="4294967294" count="1" selected="0">
            <x v="0"/>
          </reference>
          <reference field="29" count="1" selected="0">
            <x v="19"/>
          </reference>
        </references>
      </pivotArea>
    </chartFormat>
    <chartFormat chart="2" format="98" series="1">
      <pivotArea type="data" outline="0" fieldPosition="0">
        <references count="2">
          <reference field="4294967294" count="1" selected="0">
            <x v="0"/>
          </reference>
          <reference field="29" count="1" selected="0">
            <x v="20"/>
          </reference>
        </references>
      </pivotArea>
    </chartFormat>
    <chartFormat chart="2" format="99" series="1">
      <pivotArea type="data" outline="0" fieldPosition="0">
        <references count="2">
          <reference field="4294967294" count="1" selected="0">
            <x v="0"/>
          </reference>
          <reference field="29" count="1" selected="0">
            <x v="21"/>
          </reference>
        </references>
      </pivotArea>
    </chartFormat>
    <chartFormat chart="2" format="100" series="1">
      <pivotArea type="data" outline="0" fieldPosition="0">
        <references count="2">
          <reference field="4294967294" count="1" selected="0">
            <x v="0"/>
          </reference>
          <reference field="29" count="1" selected="0">
            <x v="22"/>
          </reference>
        </references>
      </pivotArea>
    </chartFormat>
    <chartFormat chart="2" format="101" series="1">
      <pivotArea type="data" outline="0" fieldPosition="0">
        <references count="2">
          <reference field="4294967294" count="1" selected="0">
            <x v="0"/>
          </reference>
          <reference field="29" count="1" selected="0">
            <x v="23"/>
          </reference>
        </references>
      </pivotArea>
    </chartFormat>
    <chartFormat chart="2" format="102" series="1">
      <pivotArea type="data" outline="0" fieldPosition="0">
        <references count="2">
          <reference field="4294967294" count="1" selected="0">
            <x v="0"/>
          </reference>
          <reference field="29" count="1" selected="0">
            <x v="24"/>
          </reference>
        </references>
      </pivotArea>
    </chartFormat>
    <chartFormat chart="2" format="103" series="1">
      <pivotArea type="data" outline="0" fieldPosition="0">
        <references count="2">
          <reference field="4294967294" count="1" selected="0">
            <x v="0"/>
          </reference>
          <reference field="29" count="1" selected="0">
            <x v="25"/>
          </reference>
        </references>
      </pivotArea>
    </chartFormat>
    <chartFormat chart="2" format="104" series="1">
      <pivotArea type="data" outline="0" fieldPosition="0">
        <references count="2">
          <reference field="4294967294" count="1" selected="0">
            <x v="0"/>
          </reference>
          <reference field="29" count="1" selected="0">
            <x v="26"/>
          </reference>
        </references>
      </pivotArea>
    </chartFormat>
    <chartFormat chart="2" format="105" series="1">
      <pivotArea type="data" outline="0" fieldPosition="0">
        <references count="2">
          <reference field="4294967294" count="1" selected="0">
            <x v="0"/>
          </reference>
          <reference field="29" count="1" selected="0">
            <x v="27"/>
          </reference>
        </references>
      </pivotArea>
    </chartFormat>
    <chartFormat chart="2" format="106" series="1">
      <pivotArea type="data" outline="0" fieldPosition="0">
        <references count="2">
          <reference field="4294967294" count="1" selected="0">
            <x v="0"/>
          </reference>
          <reference field="29" count="1" selected="0">
            <x v="28"/>
          </reference>
        </references>
      </pivotArea>
    </chartFormat>
    <chartFormat chart="2" format="107" series="1">
      <pivotArea type="data" outline="0" fieldPosition="0">
        <references count="2">
          <reference field="4294967294" count="1" selected="0">
            <x v="0"/>
          </reference>
          <reference field="29" count="1" selected="0">
            <x v="29"/>
          </reference>
        </references>
      </pivotArea>
    </chartFormat>
    <chartFormat chart="2" format="108" series="1">
      <pivotArea type="data" outline="0" fieldPosition="0">
        <references count="2">
          <reference field="4294967294" count="1" selected="0">
            <x v="0"/>
          </reference>
          <reference field="29" count="1" selected="0">
            <x v="30"/>
          </reference>
        </references>
      </pivotArea>
    </chartFormat>
    <chartFormat chart="2" format="109" series="1">
      <pivotArea type="data" outline="0" fieldPosition="0">
        <references count="2">
          <reference field="4294967294" count="1" selected="0">
            <x v="0"/>
          </reference>
          <reference field="29" count="1" selected="0">
            <x v="31"/>
          </reference>
        </references>
      </pivotArea>
    </chartFormat>
    <chartFormat chart="2" format="110" series="1">
      <pivotArea type="data" outline="0" fieldPosition="0">
        <references count="2">
          <reference field="4294967294" count="1" selected="0">
            <x v="0"/>
          </reference>
          <reference field="29" count="1" selected="0">
            <x v="32"/>
          </reference>
        </references>
      </pivotArea>
    </chartFormat>
    <chartFormat chart="2" format="111" series="1">
      <pivotArea type="data" outline="0" fieldPosition="0">
        <references count="2">
          <reference field="4294967294" count="1" selected="0">
            <x v="0"/>
          </reference>
          <reference field="29" count="1" selected="0">
            <x v="33"/>
          </reference>
        </references>
      </pivotArea>
    </chartFormat>
    <chartFormat chart="2" format="112" series="1">
      <pivotArea type="data" outline="0" fieldPosition="0">
        <references count="2">
          <reference field="4294967294" count="1" selected="0">
            <x v="0"/>
          </reference>
          <reference field="29" count="1" selected="0">
            <x v="34"/>
          </reference>
        </references>
      </pivotArea>
    </chartFormat>
    <chartFormat chart="2" format="113" series="1">
      <pivotArea type="data" outline="0" fieldPosition="0">
        <references count="2">
          <reference field="4294967294" count="1" selected="0">
            <x v="0"/>
          </reference>
          <reference field="29" count="1" selected="0">
            <x v="35"/>
          </reference>
        </references>
      </pivotArea>
    </chartFormat>
    <chartFormat chart="2" format="114" series="1">
      <pivotArea type="data" outline="0" fieldPosition="0">
        <references count="2">
          <reference field="4294967294" count="1" selected="0">
            <x v="0"/>
          </reference>
          <reference field="29" count="1" selected="0">
            <x v="36"/>
          </reference>
        </references>
      </pivotArea>
    </chartFormat>
    <chartFormat chart="2" format="115" series="1">
      <pivotArea type="data" outline="0" fieldPosition="0">
        <references count="2">
          <reference field="4294967294" count="1" selected="0">
            <x v="0"/>
          </reference>
          <reference field="29" count="1" selected="0">
            <x v="37"/>
          </reference>
        </references>
      </pivotArea>
    </chartFormat>
    <chartFormat chart="2" format="116" series="1">
      <pivotArea type="data" outline="0" fieldPosition="0">
        <references count="2">
          <reference field="4294967294" count="1" selected="0">
            <x v="0"/>
          </reference>
          <reference field="29" count="1" selected="0">
            <x v="38"/>
          </reference>
        </references>
      </pivotArea>
    </chartFormat>
    <chartFormat chart="2" format="117" series="1">
      <pivotArea type="data" outline="0" fieldPosition="0">
        <references count="2">
          <reference field="4294967294" count="1" selected="0">
            <x v="1"/>
          </reference>
          <reference field="29" count="1" selected="0">
            <x v="2"/>
          </reference>
        </references>
      </pivotArea>
    </chartFormat>
    <chartFormat chart="2" format="118" series="1">
      <pivotArea type="data" outline="0" fieldPosition="0">
        <references count="2">
          <reference field="4294967294" count="1" selected="0">
            <x v="1"/>
          </reference>
          <reference field="29" count="1" selected="0">
            <x v="1"/>
          </reference>
        </references>
      </pivotArea>
    </chartFormat>
    <chartFormat chart="2" format="119" series="1">
      <pivotArea type="data" outline="0" fieldPosition="0">
        <references count="2">
          <reference field="4294967294" count="1" selected="0">
            <x v="1"/>
          </reference>
          <reference field="29" count="1" selected="0">
            <x v="0"/>
          </reference>
        </references>
      </pivotArea>
    </chartFormat>
    <chartFormat chart="2" format="120" series="1">
      <pivotArea type="data" outline="0" fieldPosition="0">
        <references count="2">
          <reference field="4294967294" count="1" selected="0">
            <x v="1"/>
          </reference>
          <reference field="29" count="1" selected="0">
            <x v="4"/>
          </reference>
        </references>
      </pivotArea>
    </chartFormat>
    <chartFormat chart="2" format="121" series="1">
      <pivotArea type="data" outline="0" fieldPosition="0">
        <references count="2">
          <reference field="4294967294" count="1" selected="0">
            <x v="1"/>
          </reference>
          <reference field="29" count="1" selected="0">
            <x v="6"/>
          </reference>
        </references>
      </pivotArea>
    </chartFormat>
    <chartFormat chart="2" format="122" series="1">
      <pivotArea type="data" outline="0" fieldPosition="0">
        <references count="2">
          <reference field="4294967294" count="1" selected="0">
            <x v="1"/>
          </reference>
          <reference field="29" count="1" selected="0">
            <x v="7"/>
          </reference>
        </references>
      </pivotArea>
    </chartFormat>
    <chartFormat chart="2" format="123" series="1">
      <pivotArea type="data" outline="0" fieldPosition="0">
        <references count="2">
          <reference field="4294967294" count="1" selected="0">
            <x v="1"/>
          </reference>
          <reference field="29" count="1" selected="0">
            <x v="3"/>
          </reference>
        </references>
      </pivotArea>
    </chartFormat>
    <chartFormat chart="2" format="124" series="1">
      <pivotArea type="data" outline="0" fieldPosition="0">
        <references count="2">
          <reference field="4294967294" count="1" selected="0">
            <x v="1"/>
          </reference>
          <reference field="29" count="1" selected="0">
            <x v="5"/>
          </reference>
        </references>
      </pivotArea>
    </chartFormat>
    <chartFormat chart="2" format="125" series="1">
      <pivotArea type="data" outline="0" fieldPosition="0">
        <references count="2">
          <reference field="4294967294" count="1" selected="0">
            <x v="1"/>
          </reference>
          <reference field="29" count="1" selected="0">
            <x v="8"/>
          </reference>
        </references>
      </pivotArea>
    </chartFormat>
    <chartFormat chart="2" format="126" series="1">
      <pivotArea type="data" outline="0" fieldPosition="0">
        <references count="2">
          <reference field="4294967294" count="1" selected="0">
            <x v="1"/>
          </reference>
          <reference field="29" count="1" selected="0">
            <x v="9"/>
          </reference>
        </references>
      </pivotArea>
    </chartFormat>
    <chartFormat chart="2" format="127" series="1">
      <pivotArea type="data" outline="0" fieldPosition="0">
        <references count="2">
          <reference field="4294967294" count="1" selected="0">
            <x v="1"/>
          </reference>
          <reference field="29" count="1" selected="0">
            <x v="10"/>
          </reference>
        </references>
      </pivotArea>
    </chartFormat>
    <chartFormat chart="2" format="128" series="1">
      <pivotArea type="data" outline="0" fieldPosition="0">
        <references count="2">
          <reference field="4294967294" count="1" selected="0">
            <x v="1"/>
          </reference>
          <reference field="29" count="1" selected="0">
            <x v="11"/>
          </reference>
        </references>
      </pivotArea>
    </chartFormat>
    <chartFormat chart="2" format="129" series="1">
      <pivotArea type="data" outline="0" fieldPosition="0">
        <references count="2">
          <reference field="4294967294" count="1" selected="0">
            <x v="1"/>
          </reference>
          <reference field="29" count="1" selected="0">
            <x v="12"/>
          </reference>
        </references>
      </pivotArea>
    </chartFormat>
    <chartFormat chart="2" format="130" series="1">
      <pivotArea type="data" outline="0" fieldPosition="0">
        <references count="2">
          <reference field="4294967294" count="1" selected="0">
            <x v="1"/>
          </reference>
          <reference field="29" count="1" selected="0">
            <x v="13"/>
          </reference>
        </references>
      </pivotArea>
    </chartFormat>
    <chartFormat chart="2" format="131" series="1">
      <pivotArea type="data" outline="0" fieldPosition="0">
        <references count="2">
          <reference field="4294967294" count="1" selected="0">
            <x v="1"/>
          </reference>
          <reference field="29" count="1" selected="0">
            <x v="14"/>
          </reference>
        </references>
      </pivotArea>
    </chartFormat>
    <chartFormat chart="2" format="132" series="1">
      <pivotArea type="data" outline="0" fieldPosition="0">
        <references count="2">
          <reference field="4294967294" count="1" selected="0">
            <x v="1"/>
          </reference>
          <reference field="29" count="1" selected="0">
            <x v="15"/>
          </reference>
        </references>
      </pivotArea>
    </chartFormat>
    <chartFormat chart="2" format="133" series="1">
      <pivotArea type="data" outline="0" fieldPosition="0">
        <references count="2">
          <reference field="4294967294" count="1" selected="0">
            <x v="1"/>
          </reference>
          <reference field="29" count="1" selected="0">
            <x v="16"/>
          </reference>
        </references>
      </pivotArea>
    </chartFormat>
    <chartFormat chart="2" format="134" series="1">
      <pivotArea type="data" outline="0" fieldPosition="0">
        <references count="2">
          <reference field="4294967294" count="1" selected="0">
            <x v="1"/>
          </reference>
          <reference field="29" count="1" selected="0">
            <x v="17"/>
          </reference>
        </references>
      </pivotArea>
    </chartFormat>
    <chartFormat chart="2" format="135" series="1">
      <pivotArea type="data" outline="0" fieldPosition="0">
        <references count="2">
          <reference field="4294967294" count="1" selected="0">
            <x v="1"/>
          </reference>
          <reference field="29" count="1" selected="0">
            <x v="18"/>
          </reference>
        </references>
      </pivotArea>
    </chartFormat>
    <chartFormat chart="2" format="136" series="1">
      <pivotArea type="data" outline="0" fieldPosition="0">
        <references count="2">
          <reference field="4294967294" count="1" selected="0">
            <x v="1"/>
          </reference>
          <reference field="29" count="1" selected="0">
            <x v="19"/>
          </reference>
        </references>
      </pivotArea>
    </chartFormat>
    <chartFormat chart="2" format="137" series="1">
      <pivotArea type="data" outline="0" fieldPosition="0">
        <references count="2">
          <reference field="4294967294" count="1" selected="0">
            <x v="1"/>
          </reference>
          <reference field="29" count="1" selected="0">
            <x v="20"/>
          </reference>
        </references>
      </pivotArea>
    </chartFormat>
    <chartFormat chart="2" format="138" series="1">
      <pivotArea type="data" outline="0" fieldPosition="0">
        <references count="2">
          <reference field="4294967294" count="1" selected="0">
            <x v="1"/>
          </reference>
          <reference field="29" count="1" selected="0">
            <x v="21"/>
          </reference>
        </references>
      </pivotArea>
    </chartFormat>
    <chartFormat chart="2" format="139" series="1">
      <pivotArea type="data" outline="0" fieldPosition="0">
        <references count="2">
          <reference field="4294967294" count="1" selected="0">
            <x v="1"/>
          </reference>
          <reference field="29" count="1" selected="0">
            <x v="22"/>
          </reference>
        </references>
      </pivotArea>
    </chartFormat>
    <chartFormat chart="2" format="140" series="1">
      <pivotArea type="data" outline="0" fieldPosition="0">
        <references count="2">
          <reference field="4294967294" count="1" selected="0">
            <x v="1"/>
          </reference>
          <reference field="29" count="1" selected="0">
            <x v="23"/>
          </reference>
        </references>
      </pivotArea>
    </chartFormat>
    <chartFormat chart="2" format="141" series="1">
      <pivotArea type="data" outline="0" fieldPosition="0">
        <references count="2">
          <reference field="4294967294" count="1" selected="0">
            <x v="1"/>
          </reference>
          <reference field="29" count="1" selected="0">
            <x v="24"/>
          </reference>
        </references>
      </pivotArea>
    </chartFormat>
    <chartFormat chart="2" format="142" series="1">
      <pivotArea type="data" outline="0" fieldPosition="0">
        <references count="2">
          <reference field="4294967294" count="1" selected="0">
            <x v="1"/>
          </reference>
          <reference field="29" count="1" selected="0">
            <x v="25"/>
          </reference>
        </references>
      </pivotArea>
    </chartFormat>
    <chartFormat chart="2" format="143" series="1">
      <pivotArea type="data" outline="0" fieldPosition="0">
        <references count="2">
          <reference field="4294967294" count="1" selected="0">
            <x v="1"/>
          </reference>
          <reference field="29" count="1" selected="0">
            <x v="26"/>
          </reference>
        </references>
      </pivotArea>
    </chartFormat>
    <chartFormat chart="2" format="144" series="1">
      <pivotArea type="data" outline="0" fieldPosition="0">
        <references count="2">
          <reference field="4294967294" count="1" selected="0">
            <x v="1"/>
          </reference>
          <reference field="29" count="1" selected="0">
            <x v="27"/>
          </reference>
        </references>
      </pivotArea>
    </chartFormat>
    <chartFormat chart="2" format="145" series="1">
      <pivotArea type="data" outline="0" fieldPosition="0">
        <references count="2">
          <reference field="4294967294" count="1" selected="0">
            <x v="1"/>
          </reference>
          <reference field="29" count="1" selected="0">
            <x v="28"/>
          </reference>
        </references>
      </pivotArea>
    </chartFormat>
    <chartFormat chart="2" format="146" series="1">
      <pivotArea type="data" outline="0" fieldPosition="0">
        <references count="2">
          <reference field="4294967294" count="1" selected="0">
            <x v="1"/>
          </reference>
          <reference field="29" count="1" selected="0">
            <x v="29"/>
          </reference>
        </references>
      </pivotArea>
    </chartFormat>
    <chartFormat chart="2" format="147" series="1">
      <pivotArea type="data" outline="0" fieldPosition="0">
        <references count="2">
          <reference field="4294967294" count="1" selected="0">
            <x v="1"/>
          </reference>
          <reference field="29" count="1" selected="0">
            <x v="30"/>
          </reference>
        </references>
      </pivotArea>
    </chartFormat>
    <chartFormat chart="2" format="148" series="1">
      <pivotArea type="data" outline="0" fieldPosition="0">
        <references count="2">
          <reference field="4294967294" count="1" selected="0">
            <x v="1"/>
          </reference>
          <reference field="29" count="1" selected="0">
            <x v="31"/>
          </reference>
        </references>
      </pivotArea>
    </chartFormat>
    <chartFormat chart="2" format="149" series="1">
      <pivotArea type="data" outline="0" fieldPosition="0">
        <references count="2">
          <reference field="4294967294" count="1" selected="0">
            <x v="1"/>
          </reference>
          <reference field="29" count="1" selected="0">
            <x v="32"/>
          </reference>
        </references>
      </pivotArea>
    </chartFormat>
    <chartFormat chart="2" format="150" series="1">
      <pivotArea type="data" outline="0" fieldPosition="0">
        <references count="2">
          <reference field="4294967294" count="1" selected="0">
            <x v="1"/>
          </reference>
          <reference field="29" count="1" selected="0">
            <x v="33"/>
          </reference>
        </references>
      </pivotArea>
    </chartFormat>
    <chartFormat chart="2" format="151" series="1">
      <pivotArea type="data" outline="0" fieldPosition="0">
        <references count="2">
          <reference field="4294967294" count="1" selected="0">
            <x v="1"/>
          </reference>
          <reference field="29" count="1" selected="0">
            <x v="34"/>
          </reference>
        </references>
      </pivotArea>
    </chartFormat>
    <chartFormat chart="2" format="152" series="1">
      <pivotArea type="data" outline="0" fieldPosition="0">
        <references count="2">
          <reference field="4294967294" count="1" selected="0">
            <x v="1"/>
          </reference>
          <reference field="29" count="1" selected="0">
            <x v="35"/>
          </reference>
        </references>
      </pivotArea>
    </chartFormat>
    <chartFormat chart="2" format="153" series="1">
      <pivotArea type="data" outline="0" fieldPosition="0">
        <references count="2">
          <reference field="4294967294" count="1" selected="0">
            <x v="1"/>
          </reference>
          <reference field="29" count="1" selected="0">
            <x v="36"/>
          </reference>
        </references>
      </pivotArea>
    </chartFormat>
    <chartFormat chart="2" format="154" series="1">
      <pivotArea type="data" outline="0" fieldPosition="0">
        <references count="2">
          <reference field="4294967294" count="1" selected="0">
            <x v="1"/>
          </reference>
          <reference field="29" count="1" selected="0">
            <x v="37"/>
          </reference>
        </references>
      </pivotArea>
    </chartFormat>
    <chartFormat chart="2" format="155" series="1">
      <pivotArea type="data" outline="0" fieldPosition="0">
        <references count="2">
          <reference field="4294967294" count="1" selected="0">
            <x v="1"/>
          </reference>
          <reference field="29" count="1" selected="0">
            <x v="38"/>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F56A95B1-1E39-411A-8A79-D7592D21C4DE}" name="PivotTable7" cacheId="2024" applyNumberFormats="0" applyBorderFormats="0" applyFontFormats="0" applyPatternFormats="0" applyAlignmentFormats="0" applyWidthHeightFormats="1" dataCaption="Values" updatedVersion="7" minRefreshableVersion="3" itemPrintTitles="1" createdVersion="7" indent="0" outline="1" outlineData="1" multipleFieldFilters="0" chartFormat="14">
  <location ref="F6:J8" firstHeaderRow="0" firstDataRow="1" firstDataCol="1"/>
  <pivotFields count="54">
    <pivotField showAll="0"/>
    <pivotField numFmtId="165" showAll="0"/>
    <pivotField showAll="0"/>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showAll="0">
      <items count="40">
        <item x="12"/>
        <item h="1" x="5"/>
        <item h="1" x="6"/>
        <item h="1" x="19"/>
        <item h="1" x="37"/>
        <item h="1" x="24"/>
        <item h="1" x="35"/>
        <item h="1" x="17"/>
        <item h="1" x="23"/>
        <item h="1" x="2"/>
        <item h="1" x="31"/>
        <item h="1" x="21"/>
        <item h="1" x="15"/>
        <item h="1" x="36"/>
        <item h="1" x="0"/>
        <item h="1" x="13"/>
        <item h="1" x="29"/>
        <item h="1" x="32"/>
        <item h="1" x="33"/>
        <item h="1" x="27"/>
        <item h="1" x="3"/>
        <item h="1" x="38"/>
        <item h="1" x="26"/>
        <item h="1" x="22"/>
        <item h="1" x="20"/>
        <item h="1" x="9"/>
        <item h="1" x="7"/>
        <item h="1" x="11"/>
        <item h="1" x="14"/>
        <item h="1" x="10"/>
        <item h="1" x="30"/>
        <item h="1" x="1"/>
        <item h="1" x="28"/>
        <item h="1" x="34"/>
        <item h="1" x="18"/>
        <item h="1" x="8"/>
        <item h="1" x="4"/>
        <item h="1" x="16"/>
        <item h="1" x="25"/>
        <item t="default"/>
      </items>
    </pivotField>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9"/>
  </rowFields>
  <rowItems count="2">
    <i>
      <x/>
    </i>
    <i t="grand">
      <x/>
    </i>
  </rowItems>
  <colFields count="1">
    <field x="-2"/>
  </colFields>
  <colItems count="4">
    <i>
      <x/>
    </i>
    <i i="1">
      <x v="1"/>
    </i>
    <i i="2">
      <x v="2"/>
    </i>
    <i i="3">
      <x v="3"/>
    </i>
  </colItems>
  <dataFields count="4">
    <dataField name="Sum of Type 2 diabetics" fld="6" baseField="0" baseItem="0"/>
    <dataField name="Sum of diabetes review target" fld="33" baseField="0" baseItem="0"/>
    <dataField name="Sum of 1 Diabetes review recorded or proxy 12m" fld="7" baseField="0" baseItem="0"/>
    <dataField name="Sum of Diabetes review%" fld="30" baseField="29" baseItem="8" numFmtId="9"/>
  </dataFields>
  <chartFormats count="4">
    <chartFormat chart="13" format="185" series="1">
      <pivotArea type="data" outline="0" fieldPosition="0">
        <references count="1">
          <reference field="4294967294" count="1" selected="0">
            <x v="0"/>
          </reference>
        </references>
      </pivotArea>
    </chartFormat>
    <chartFormat chart="13" format="186" series="1">
      <pivotArea type="data" outline="0" fieldPosition="0">
        <references count="1">
          <reference field="4294967294" count="1" selected="0">
            <x v="1"/>
          </reference>
        </references>
      </pivotArea>
    </chartFormat>
    <chartFormat chart="13" format="187" series="1">
      <pivotArea type="data" outline="0" fieldPosition="0">
        <references count="1">
          <reference field="4294967294" count="1" selected="0">
            <x v="2"/>
          </reference>
        </references>
      </pivotArea>
    </chartFormat>
    <chartFormat chart="13" format="188" series="1">
      <pivotArea type="data" outline="0" fieldPosition="0">
        <references count="1">
          <reference field="4294967294" count="1" selected="0">
            <x v="3"/>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F3C710CE-2D99-4F7A-86A3-EDB17F15E9DA}" name="PivotTable11" cacheId="2024"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chartFormat="5">
  <location ref="F53:J69" firstHeaderRow="1" firstDataRow="3" firstDataCol="1"/>
  <pivotFields count="54">
    <pivotField showAll="0"/>
    <pivotField axis="axisRow" numFmtId="14" showAll="0">
      <items count="14">
        <item x="7"/>
        <item x="8"/>
        <item x="9"/>
        <item x="10"/>
        <item x="11"/>
        <item x="12"/>
        <item x="0"/>
        <item x="1"/>
        <item x="2"/>
        <item x="3"/>
        <item x="4"/>
        <item x="5"/>
        <item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showAll="0">
      <items count="40">
        <item x="12"/>
        <item h="1" x="5"/>
        <item h="1" x="6"/>
        <item h="1" x="19"/>
        <item h="1" x="37"/>
        <item h="1" x="24"/>
        <item h="1" x="35"/>
        <item h="1" x="17"/>
        <item h="1" x="23"/>
        <item h="1" x="2"/>
        <item h="1" x="31"/>
        <item h="1" x="21"/>
        <item h="1" x="15"/>
        <item h="1" x="36"/>
        <item h="1" x="0"/>
        <item h="1" x="13"/>
        <item h="1" x="29"/>
        <item h="1" x="32"/>
        <item h="1" x="33"/>
        <item h="1" x="27"/>
        <item h="1" x="3"/>
        <item h="1" x="38"/>
        <item h="1" x="26"/>
        <item h="1" x="22"/>
        <item h="1" x="20"/>
        <item h="1" x="9"/>
        <item h="1" x="7"/>
        <item h="1" x="11"/>
        <item h="1" x="14"/>
        <item h="1" x="10"/>
        <item h="1" x="30"/>
        <item h="1" x="1"/>
        <item h="1" x="28"/>
        <item h="1" x="34"/>
        <item h="1" x="18"/>
        <item h="1" x="8"/>
        <item h="1" x="4"/>
        <item h="1" x="16"/>
        <item h="1" x="25"/>
        <item t="default"/>
      </items>
    </pivotField>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1"/>
  </rowFields>
  <rowItems count="14">
    <i>
      <x/>
    </i>
    <i>
      <x v="1"/>
    </i>
    <i>
      <x v="2"/>
    </i>
    <i>
      <x v="3"/>
    </i>
    <i>
      <x v="4"/>
    </i>
    <i>
      <x v="5"/>
    </i>
    <i>
      <x v="6"/>
    </i>
    <i>
      <x v="7"/>
    </i>
    <i>
      <x v="8"/>
    </i>
    <i>
      <x v="9"/>
    </i>
    <i>
      <x v="10"/>
    </i>
    <i>
      <x v="11"/>
    </i>
    <i>
      <x v="12"/>
    </i>
    <i t="grand">
      <x/>
    </i>
  </rowItems>
  <colFields count="2">
    <field x="29"/>
    <field x="-2"/>
  </colFields>
  <colItems count="4">
    <i>
      <x/>
      <x/>
    </i>
    <i r="1" i="1">
      <x v="1"/>
    </i>
    <i t="grand">
      <x/>
    </i>
    <i t="grand" i="1">
      <x/>
    </i>
  </colItems>
  <dataFields count="2">
    <dataField name="Triple Target %" fld="31" baseField="1" baseItem="0"/>
    <dataField name="Target 15%" fld="35" baseField="1" baseItem="0"/>
  </dataFields>
  <chartFormats count="156">
    <chartFormat chart="0" format="0" series="1">
      <pivotArea type="data" outline="0" fieldPosition="0">
        <references count="2">
          <reference field="4294967294" count="1" selected="0">
            <x v="0"/>
          </reference>
          <reference field="29" count="1" selected="0">
            <x v="0"/>
          </reference>
        </references>
      </pivotArea>
    </chartFormat>
    <chartFormat chart="0" format="1" series="1">
      <pivotArea type="data" outline="0" fieldPosition="0">
        <references count="2">
          <reference field="4294967294" count="1" selected="0">
            <x v="1"/>
          </reference>
          <reference field="29" count="1" selected="0">
            <x v="0"/>
          </reference>
        </references>
      </pivotArea>
    </chartFormat>
    <chartFormat chart="0" format="2" series="1">
      <pivotArea type="data" outline="0" fieldPosition="0">
        <references count="2">
          <reference field="4294967294" count="1" selected="0">
            <x v="0"/>
          </reference>
          <reference field="29" count="1" selected="0">
            <x v="1"/>
          </reference>
        </references>
      </pivotArea>
    </chartFormat>
    <chartFormat chart="0" format="3" series="1">
      <pivotArea type="data" outline="0" fieldPosition="0">
        <references count="2">
          <reference field="4294967294" count="1" selected="0">
            <x v="1"/>
          </reference>
          <reference field="29" count="1" selected="0">
            <x v="1"/>
          </reference>
        </references>
      </pivotArea>
    </chartFormat>
    <chartFormat chart="0" format="4" series="1">
      <pivotArea type="data" outline="0" fieldPosition="0">
        <references count="2">
          <reference field="4294967294" count="1" selected="0">
            <x v="0"/>
          </reference>
          <reference field="29" count="1" selected="0">
            <x v="2"/>
          </reference>
        </references>
      </pivotArea>
    </chartFormat>
    <chartFormat chart="0" format="5" series="1">
      <pivotArea type="data" outline="0" fieldPosition="0">
        <references count="2">
          <reference field="4294967294" count="1" selected="0">
            <x v="1"/>
          </reference>
          <reference field="29" count="1" selected="0">
            <x v="2"/>
          </reference>
        </references>
      </pivotArea>
    </chartFormat>
    <chartFormat chart="0" format="6" series="1">
      <pivotArea type="data" outline="0" fieldPosition="0">
        <references count="2">
          <reference field="4294967294" count="1" selected="0">
            <x v="0"/>
          </reference>
          <reference field="29" count="1" selected="0">
            <x v="3"/>
          </reference>
        </references>
      </pivotArea>
    </chartFormat>
    <chartFormat chart="0" format="7" series="1">
      <pivotArea type="data" outline="0" fieldPosition="0">
        <references count="2">
          <reference field="4294967294" count="1" selected="0">
            <x v="1"/>
          </reference>
          <reference field="29" count="1" selected="0">
            <x v="3"/>
          </reference>
        </references>
      </pivotArea>
    </chartFormat>
    <chartFormat chart="0" format="8" series="1">
      <pivotArea type="data" outline="0" fieldPosition="0">
        <references count="2">
          <reference field="4294967294" count="1" selected="0">
            <x v="0"/>
          </reference>
          <reference field="29" count="1" selected="0">
            <x v="4"/>
          </reference>
        </references>
      </pivotArea>
    </chartFormat>
    <chartFormat chart="0" format="9" series="1">
      <pivotArea type="data" outline="0" fieldPosition="0">
        <references count="2">
          <reference field="4294967294" count="1" selected="0">
            <x v="1"/>
          </reference>
          <reference field="29" count="1" selected="0">
            <x v="4"/>
          </reference>
        </references>
      </pivotArea>
    </chartFormat>
    <chartFormat chart="0" format="10" series="1">
      <pivotArea type="data" outline="0" fieldPosition="0">
        <references count="2">
          <reference field="4294967294" count="1" selected="0">
            <x v="0"/>
          </reference>
          <reference field="29" count="1" selected="0">
            <x v="5"/>
          </reference>
        </references>
      </pivotArea>
    </chartFormat>
    <chartFormat chart="0" format="11" series="1">
      <pivotArea type="data" outline="0" fieldPosition="0">
        <references count="2">
          <reference field="4294967294" count="1" selected="0">
            <x v="1"/>
          </reference>
          <reference field="29" count="1" selected="0">
            <x v="5"/>
          </reference>
        </references>
      </pivotArea>
    </chartFormat>
    <chartFormat chart="0" format="12" series="1">
      <pivotArea type="data" outline="0" fieldPosition="0">
        <references count="2">
          <reference field="4294967294" count="1" selected="0">
            <x v="0"/>
          </reference>
          <reference field="29" count="1" selected="0">
            <x v="6"/>
          </reference>
        </references>
      </pivotArea>
    </chartFormat>
    <chartFormat chart="0" format="13" series="1">
      <pivotArea type="data" outline="0" fieldPosition="0">
        <references count="2">
          <reference field="4294967294" count="1" selected="0">
            <x v="1"/>
          </reference>
          <reference field="29" count="1" selected="0">
            <x v="6"/>
          </reference>
        </references>
      </pivotArea>
    </chartFormat>
    <chartFormat chart="0" format="14" series="1">
      <pivotArea type="data" outline="0" fieldPosition="0">
        <references count="2">
          <reference field="4294967294" count="1" selected="0">
            <x v="0"/>
          </reference>
          <reference field="29" count="1" selected="0">
            <x v="7"/>
          </reference>
        </references>
      </pivotArea>
    </chartFormat>
    <chartFormat chart="0" format="15" series="1">
      <pivotArea type="data" outline="0" fieldPosition="0">
        <references count="2">
          <reference field="4294967294" count="1" selected="0">
            <x v="1"/>
          </reference>
          <reference field="29" count="1" selected="0">
            <x v="7"/>
          </reference>
        </references>
      </pivotArea>
    </chartFormat>
    <chartFormat chart="0" format="16" series="1">
      <pivotArea type="data" outline="0" fieldPosition="0">
        <references count="2">
          <reference field="4294967294" count="1" selected="0">
            <x v="0"/>
          </reference>
          <reference field="29" count="1" selected="0">
            <x v="8"/>
          </reference>
        </references>
      </pivotArea>
    </chartFormat>
    <chartFormat chart="0" format="17" series="1">
      <pivotArea type="data" outline="0" fieldPosition="0">
        <references count="2">
          <reference field="4294967294" count="1" selected="0">
            <x v="1"/>
          </reference>
          <reference field="29" count="1" selected="0">
            <x v="8"/>
          </reference>
        </references>
      </pivotArea>
    </chartFormat>
    <chartFormat chart="0" format="18" series="1">
      <pivotArea type="data" outline="0" fieldPosition="0">
        <references count="2">
          <reference field="4294967294" count="1" selected="0">
            <x v="0"/>
          </reference>
          <reference field="29" count="1" selected="0">
            <x v="9"/>
          </reference>
        </references>
      </pivotArea>
    </chartFormat>
    <chartFormat chart="0" format="19" series="1">
      <pivotArea type="data" outline="0" fieldPosition="0">
        <references count="2">
          <reference field="4294967294" count="1" selected="0">
            <x v="1"/>
          </reference>
          <reference field="29" count="1" selected="0">
            <x v="9"/>
          </reference>
        </references>
      </pivotArea>
    </chartFormat>
    <chartFormat chart="0" format="20" series="1">
      <pivotArea type="data" outline="0" fieldPosition="0">
        <references count="2">
          <reference field="4294967294" count="1" selected="0">
            <x v="0"/>
          </reference>
          <reference field="29" count="1" selected="0">
            <x v="10"/>
          </reference>
        </references>
      </pivotArea>
    </chartFormat>
    <chartFormat chart="0" format="21" series="1">
      <pivotArea type="data" outline="0" fieldPosition="0">
        <references count="2">
          <reference field="4294967294" count="1" selected="0">
            <x v="1"/>
          </reference>
          <reference field="29" count="1" selected="0">
            <x v="10"/>
          </reference>
        </references>
      </pivotArea>
    </chartFormat>
    <chartFormat chart="0" format="22" series="1">
      <pivotArea type="data" outline="0" fieldPosition="0">
        <references count="2">
          <reference field="4294967294" count="1" selected="0">
            <x v="0"/>
          </reference>
          <reference field="29" count="1" selected="0">
            <x v="11"/>
          </reference>
        </references>
      </pivotArea>
    </chartFormat>
    <chartFormat chart="0" format="23" series="1">
      <pivotArea type="data" outline="0" fieldPosition="0">
        <references count="2">
          <reference field="4294967294" count="1" selected="0">
            <x v="1"/>
          </reference>
          <reference field="29" count="1" selected="0">
            <x v="11"/>
          </reference>
        </references>
      </pivotArea>
    </chartFormat>
    <chartFormat chart="0" format="24" series="1">
      <pivotArea type="data" outline="0" fieldPosition="0">
        <references count="2">
          <reference field="4294967294" count="1" selected="0">
            <x v="0"/>
          </reference>
          <reference field="29" count="1" selected="0">
            <x v="12"/>
          </reference>
        </references>
      </pivotArea>
    </chartFormat>
    <chartFormat chart="0" format="25" series="1">
      <pivotArea type="data" outline="0" fieldPosition="0">
        <references count="2">
          <reference field="4294967294" count="1" selected="0">
            <x v="1"/>
          </reference>
          <reference field="29" count="1" selected="0">
            <x v="12"/>
          </reference>
        </references>
      </pivotArea>
    </chartFormat>
    <chartFormat chart="0" format="26" series="1">
      <pivotArea type="data" outline="0" fieldPosition="0">
        <references count="2">
          <reference field="4294967294" count="1" selected="0">
            <x v="0"/>
          </reference>
          <reference field="29" count="1" selected="0">
            <x v="13"/>
          </reference>
        </references>
      </pivotArea>
    </chartFormat>
    <chartFormat chart="0" format="27" series="1">
      <pivotArea type="data" outline="0" fieldPosition="0">
        <references count="2">
          <reference field="4294967294" count="1" selected="0">
            <x v="1"/>
          </reference>
          <reference field="29" count="1" selected="0">
            <x v="13"/>
          </reference>
        </references>
      </pivotArea>
    </chartFormat>
    <chartFormat chart="0" format="28" series="1">
      <pivotArea type="data" outline="0" fieldPosition="0">
        <references count="2">
          <reference field="4294967294" count="1" selected="0">
            <x v="0"/>
          </reference>
          <reference field="29" count="1" selected="0">
            <x v="14"/>
          </reference>
        </references>
      </pivotArea>
    </chartFormat>
    <chartFormat chart="0" format="29" series="1">
      <pivotArea type="data" outline="0" fieldPosition="0">
        <references count="2">
          <reference field="4294967294" count="1" selected="0">
            <x v="1"/>
          </reference>
          <reference field="29" count="1" selected="0">
            <x v="14"/>
          </reference>
        </references>
      </pivotArea>
    </chartFormat>
    <chartFormat chart="0" format="30" series="1">
      <pivotArea type="data" outline="0" fieldPosition="0">
        <references count="2">
          <reference field="4294967294" count="1" selected="0">
            <x v="0"/>
          </reference>
          <reference field="29" count="1" selected="0">
            <x v="15"/>
          </reference>
        </references>
      </pivotArea>
    </chartFormat>
    <chartFormat chart="0" format="31" series="1">
      <pivotArea type="data" outline="0" fieldPosition="0">
        <references count="2">
          <reference field="4294967294" count="1" selected="0">
            <x v="1"/>
          </reference>
          <reference field="29" count="1" selected="0">
            <x v="15"/>
          </reference>
        </references>
      </pivotArea>
    </chartFormat>
    <chartFormat chart="0" format="32" series="1">
      <pivotArea type="data" outline="0" fieldPosition="0">
        <references count="2">
          <reference field="4294967294" count="1" selected="0">
            <x v="0"/>
          </reference>
          <reference field="29" count="1" selected="0">
            <x v="16"/>
          </reference>
        </references>
      </pivotArea>
    </chartFormat>
    <chartFormat chart="0" format="33" series="1">
      <pivotArea type="data" outline="0" fieldPosition="0">
        <references count="2">
          <reference field="4294967294" count="1" selected="0">
            <x v="1"/>
          </reference>
          <reference field="29" count="1" selected="0">
            <x v="16"/>
          </reference>
        </references>
      </pivotArea>
    </chartFormat>
    <chartFormat chart="0" format="34" series="1">
      <pivotArea type="data" outline="0" fieldPosition="0">
        <references count="2">
          <reference field="4294967294" count="1" selected="0">
            <x v="0"/>
          </reference>
          <reference field="29" count="1" selected="0">
            <x v="17"/>
          </reference>
        </references>
      </pivotArea>
    </chartFormat>
    <chartFormat chart="0" format="35" series="1">
      <pivotArea type="data" outline="0" fieldPosition="0">
        <references count="2">
          <reference field="4294967294" count="1" selected="0">
            <x v="1"/>
          </reference>
          <reference field="29" count="1" selected="0">
            <x v="17"/>
          </reference>
        </references>
      </pivotArea>
    </chartFormat>
    <chartFormat chart="0" format="36" series="1">
      <pivotArea type="data" outline="0" fieldPosition="0">
        <references count="2">
          <reference field="4294967294" count="1" selected="0">
            <x v="0"/>
          </reference>
          <reference field="29" count="1" selected="0">
            <x v="18"/>
          </reference>
        </references>
      </pivotArea>
    </chartFormat>
    <chartFormat chart="0" format="37" series="1">
      <pivotArea type="data" outline="0" fieldPosition="0">
        <references count="2">
          <reference field="4294967294" count="1" selected="0">
            <x v="1"/>
          </reference>
          <reference field="29" count="1" selected="0">
            <x v="18"/>
          </reference>
        </references>
      </pivotArea>
    </chartFormat>
    <chartFormat chart="0" format="38" series="1">
      <pivotArea type="data" outline="0" fieldPosition="0">
        <references count="2">
          <reference field="4294967294" count="1" selected="0">
            <x v="0"/>
          </reference>
          <reference field="29" count="1" selected="0">
            <x v="19"/>
          </reference>
        </references>
      </pivotArea>
    </chartFormat>
    <chartFormat chart="0" format="39" series="1">
      <pivotArea type="data" outline="0" fieldPosition="0">
        <references count="2">
          <reference field="4294967294" count="1" selected="0">
            <x v="1"/>
          </reference>
          <reference field="29" count="1" selected="0">
            <x v="19"/>
          </reference>
        </references>
      </pivotArea>
    </chartFormat>
    <chartFormat chart="0" format="40" series="1">
      <pivotArea type="data" outline="0" fieldPosition="0">
        <references count="2">
          <reference field="4294967294" count="1" selected="0">
            <x v="0"/>
          </reference>
          <reference field="29" count="1" selected="0">
            <x v="20"/>
          </reference>
        </references>
      </pivotArea>
    </chartFormat>
    <chartFormat chart="0" format="41" series="1">
      <pivotArea type="data" outline="0" fieldPosition="0">
        <references count="2">
          <reference field="4294967294" count="1" selected="0">
            <x v="1"/>
          </reference>
          <reference field="29" count="1" selected="0">
            <x v="20"/>
          </reference>
        </references>
      </pivotArea>
    </chartFormat>
    <chartFormat chart="0" format="42" series="1">
      <pivotArea type="data" outline="0" fieldPosition="0">
        <references count="2">
          <reference field="4294967294" count="1" selected="0">
            <x v="0"/>
          </reference>
          <reference field="29" count="1" selected="0">
            <x v="21"/>
          </reference>
        </references>
      </pivotArea>
    </chartFormat>
    <chartFormat chart="0" format="43" series="1">
      <pivotArea type="data" outline="0" fieldPosition="0">
        <references count="2">
          <reference field="4294967294" count="1" selected="0">
            <x v="1"/>
          </reference>
          <reference field="29" count="1" selected="0">
            <x v="21"/>
          </reference>
        </references>
      </pivotArea>
    </chartFormat>
    <chartFormat chart="0" format="44" series="1">
      <pivotArea type="data" outline="0" fieldPosition="0">
        <references count="2">
          <reference field="4294967294" count="1" selected="0">
            <x v="0"/>
          </reference>
          <reference field="29" count="1" selected="0">
            <x v="22"/>
          </reference>
        </references>
      </pivotArea>
    </chartFormat>
    <chartFormat chart="0" format="45" series="1">
      <pivotArea type="data" outline="0" fieldPosition="0">
        <references count="2">
          <reference field="4294967294" count="1" selected="0">
            <x v="1"/>
          </reference>
          <reference field="29" count="1" selected="0">
            <x v="22"/>
          </reference>
        </references>
      </pivotArea>
    </chartFormat>
    <chartFormat chart="0" format="46" series="1">
      <pivotArea type="data" outline="0" fieldPosition="0">
        <references count="2">
          <reference field="4294967294" count="1" selected="0">
            <x v="0"/>
          </reference>
          <reference field="29" count="1" selected="0">
            <x v="23"/>
          </reference>
        </references>
      </pivotArea>
    </chartFormat>
    <chartFormat chart="0" format="47" series="1">
      <pivotArea type="data" outline="0" fieldPosition="0">
        <references count="2">
          <reference field="4294967294" count="1" selected="0">
            <x v="1"/>
          </reference>
          <reference field="29" count="1" selected="0">
            <x v="23"/>
          </reference>
        </references>
      </pivotArea>
    </chartFormat>
    <chartFormat chart="0" format="48" series="1">
      <pivotArea type="data" outline="0" fieldPosition="0">
        <references count="2">
          <reference field="4294967294" count="1" selected="0">
            <x v="0"/>
          </reference>
          <reference field="29" count="1" selected="0">
            <x v="24"/>
          </reference>
        </references>
      </pivotArea>
    </chartFormat>
    <chartFormat chart="0" format="49" series="1">
      <pivotArea type="data" outline="0" fieldPosition="0">
        <references count="2">
          <reference field="4294967294" count="1" selected="0">
            <x v="1"/>
          </reference>
          <reference field="29" count="1" selected="0">
            <x v="24"/>
          </reference>
        </references>
      </pivotArea>
    </chartFormat>
    <chartFormat chart="0" format="50" series="1">
      <pivotArea type="data" outline="0" fieldPosition="0">
        <references count="2">
          <reference field="4294967294" count="1" selected="0">
            <x v="0"/>
          </reference>
          <reference field="29" count="1" selected="0">
            <x v="25"/>
          </reference>
        </references>
      </pivotArea>
    </chartFormat>
    <chartFormat chart="0" format="51" series="1">
      <pivotArea type="data" outline="0" fieldPosition="0">
        <references count="2">
          <reference field="4294967294" count="1" selected="0">
            <x v="1"/>
          </reference>
          <reference field="29" count="1" selected="0">
            <x v="25"/>
          </reference>
        </references>
      </pivotArea>
    </chartFormat>
    <chartFormat chart="0" format="52" series="1">
      <pivotArea type="data" outline="0" fieldPosition="0">
        <references count="2">
          <reference field="4294967294" count="1" selected="0">
            <x v="0"/>
          </reference>
          <reference field="29" count="1" selected="0">
            <x v="26"/>
          </reference>
        </references>
      </pivotArea>
    </chartFormat>
    <chartFormat chart="0" format="53" series="1">
      <pivotArea type="data" outline="0" fieldPosition="0">
        <references count="2">
          <reference field="4294967294" count="1" selected="0">
            <x v="1"/>
          </reference>
          <reference field="29" count="1" selected="0">
            <x v="26"/>
          </reference>
        </references>
      </pivotArea>
    </chartFormat>
    <chartFormat chart="0" format="54" series="1">
      <pivotArea type="data" outline="0" fieldPosition="0">
        <references count="2">
          <reference field="4294967294" count="1" selected="0">
            <x v="0"/>
          </reference>
          <reference field="29" count="1" selected="0">
            <x v="27"/>
          </reference>
        </references>
      </pivotArea>
    </chartFormat>
    <chartFormat chart="0" format="55" series="1">
      <pivotArea type="data" outline="0" fieldPosition="0">
        <references count="2">
          <reference field="4294967294" count="1" selected="0">
            <x v="1"/>
          </reference>
          <reference field="29" count="1" selected="0">
            <x v="27"/>
          </reference>
        </references>
      </pivotArea>
    </chartFormat>
    <chartFormat chart="0" format="56" series="1">
      <pivotArea type="data" outline="0" fieldPosition="0">
        <references count="2">
          <reference field="4294967294" count="1" selected="0">
            <x v="0"/>
          </reference>
          <reference field="29" count="1" selected="0">
            <x v="28"/>
          </reference>
        </references>
      </pivotArea>
    </chartFormat>
    <chartFormat chart="0" format="57" series="1">
      <pivotArea type="data" outline="0" fieldPosition="0">
        <references count="2">
          <reference field="4294967294" count="1" selected="0">
            <x v="1"/>
          </reference>
          <reference field="29" count="1" selected="0">
            <x v="28"/>
          </reference>
        </references>
      </pivotArea>
    </chartFormat>
    <chartFormat chart="0" format="58" series="1">
      <pivotArea type="data" outline="0" fieldPosition="0">
        <references count="2">
          <reference field="4294967294" count="1" selected="0">
            <x v="0"/>
          </reference>
          <reference field="29" count="1" selected="0">
            <x v="29"/>
          </reference>
        </references>
      </pivotArea>
    </chartFormat>
    <chartFormat chart="0" format="59" series="1">
      <pivotArea type="data" outline="0" fieldPosition="0">
        <references count="2">
          <reference field="4294967294" count="1" selected="0">
            <x v="1"/>
          </reference>
          <reference field="29" count="1" selected="0">
            <x v="29"/>
          </reference>
        </references>
      </pivotArea>
    </chartFormat>
    <chartFormat chart="0" format="60" series="1">
      <pivotArea type="data" outline="0" fieldPosition="0">
        <references count="2">
          <reference field="4294967294" count="1" selected="0">
            <x v="0"/>
          </reference>
          <reference field="29" count="1" selected="0">
            <x v="30"/>
          </reference>
        </references>
      </pivotArea>
    </chartFormat>
    <chartFormat chart="0" format="61" series="1">
      <pivotArea type="data" outline="0" fieldPosition="0">
        <references count="2">
          <reference field="4294967294" count="1" selected="0">
            <x v="1"/>
          </reference>
          <reference field="29" count="1" selected="0">
            <x v="30"/>
          </reference>
        </references>
      </pivotArea>
    </chartFormat>
    <chartFormat chart="0" format="62" series="1">
      <pivotArea type="data" outline="0" fieldPosition="0">
        <references count="2">
          <reference field="4294967294" count="1" selected="0">
            <x v="0"/>
          </reference>
          <reference field="29" count="1" selected="0">
            <x v="31"/>
          </reference>
        </references>
      </pivotArea>
    </chartFormat>
    <chartFormat chart="0" format="63" series="1">
      <pivotArea type="data" outline="0" fieldPosition="0">
        <references count="2">
          <reference field="4294967294" count="1" selected="0">
            <x v="1"/>
          </reference>
          <reference field="29" count="1" selected="0">
            <x v="31"/>
          </reference>
        </references>
      </pivotArea>
    </chartFormat>
    <chartFormat chart="0" format="64" series="1">
      <pivotArea type="data" outline="0" fieldPosition="0">
        <references count="2">
          <reference field="4294967294" count="1" selected="0">
            <x v="0"/>
          </reference>
          <reference field="29" count="1" selected="0">
            <x v="32"/>
          </reference>
        </references>
      </pivotArea>
    </chartFormat>
    <chartFormat chart="0" format="65" series="1">
      <pivotArea type="data" outline="0" fieldPosition="0">
        <references count="2">
          <reference field="4294967294" count="1" selected="0">
            <x v="1"/>
          </reference>
          <reference field="29" count="1" selected="0">
            <x v="32"/>
          </reference>
        </references>
      </pivotArea>
    </chartFormat>
    <chartFormat chart="0" format="66" series="1">
      <pivotArea type="data" outline="0" fieldPosition="0">
        <references count="2">
          <reference field="4294967294" count="1" selected="0">
            <x v="0"/>
          </reference>
          <reference field="29" count="1" selected="0">
            <x v="33"/>
          </reference>
        </references>
      </pivotArea>
    </chartFormat>
    <chartFormat chart="0" format="67" series="1">
      <pivotArea type="data" outline="0" fieldPosition="0">
        <references count="2">
          <reference field="4294967294" count="1" selected="0">
            <x v="1"/>
          </reference>
          <reference field="29" count="1" selected="0">
            <x v="33"/>
          </reference>
        </references>
      </pivotArea>
    </chartFormat>
    <chartFormat chart="0" format="68" series="1">
      <pivotArea type="data" outline="0" fieldPosition="0">
        <references count="2">
          <reference field="4294967294" count="1" selected="0">
            <x v="0"/>
          </reference>
          <reference field="29" count="1" selected="0">
            <x v="34"/>
          </reference>
        </references>
      </pivotArea>
    </chartFormat>
    <chartFormat chart="0" format="69" series="1">
      <pivotArea type="data" outline="0" fieldPosition="0">
        <references count="2">
          <reference field="4294967294" count="1" selected="0">
            <x v="1"/>
          </reference>
          <reference field="29" count="1" selected="0">
            <x v="34"/>
          </reference>
        </references>
      </pivotArea>
    </chartFormat>
    <chartFormat chart="0" format="70" series="1">
      <pivotArea type="data" outline="0" fieldPosition="0">
        <references count="2">
          <reference field="4294967294" count="1" selected="0">
            <x v="0"/>
          </reference>
          <reference field="29" count="1" selected="0">
            <x v="35"/>
          </reference>
        </references>
      </pivotArea>
    </chartFormat>
    <chartFormat chart="0" format="71" series="1">
      <pivotArea type="data" outline="0" fieldPosition="0">
        <references count="2">
          <reference field="4294967294" count="1" selected="0">
            <x v="1"/>
          </reference>
          <reference field="29" count="1" selected="0">
            <x v="35"/>
          </reference>
        </references>
      </pivotArea>
    </chartFormat>
    <chartFormat chart="0" format="72" series="1">
      <pivotArea type="data" outline="0" fieldPosition="0">
        <references count="2">
          <reference field="4294967294" count="1" selected="0">
            <x v="0"/>
          </reference>
          <reference field="29" count="1" selected="0">
            <x v="36"/>
          </reference>
        </references>
      </pivotArea>
    </chartFormat>
    <chartFormat chart="0" format="73" series="1">
      <pivotArea type="data" outline="0" fieldPosition="0">
        <references count="2">
          <reference field="4294967294" count="1" selected="0">
            <x v="1"/>
          </reference>
          <reference field="29" count="1" selected="0">
            <x v="36"/>
          </reference>
        </references>
      </pivotArea>
    </chartFormat>
    <chartFormat chart="0" format="74" series="1">
      <pivotArea type="data" outline="0" fieldPosition="0">
        <references count="2">
          <reference field="4294967294" count="1" selected="0">
            <x v="0"/>
          </reference>
          <reference field="29" count="1" selected="0">
            <x v="37"/>
          </reference>
        </references>
      </pivotArea>
    </chartFormat>
    <chartFormat chart="0" format="75" series="1">
      <pivotArea type="data" outline="0" fieldPosition="0">
        <references count="2">
          <reference field="4294967294" count="1" selected="0">
            <x v="1"/>
          </reference>
          <reference field="29" count="1" selected="0">
            <x v="37"/>
          </reference>
        </references>
      </pivotArea>
    </chartFormat>
    <chartFormat chart="0" format="76" series="1">
      <pivotArea type="data" outline="0" fieldPosition="0">
        <references count="2">
          <reference field="4294967294" count="1" selected="0">
            <x v="0"/>
          </reference>
          <reference field="29" count="1" selected="0">
            <x v="38"/>
          </reference>
        </references>
      </pivotArea>
    </chartFormat>
    <chartFormat chart="0" format="77" series="1">
      <pivotArea type="data" outline="0" fieldPosition="0">
        <references count="2">
          <reference field="4294967294" count="1" selected="0">
            <x v="1"/>
          </reference>
          <reference field="29" count="1" selected="0">
            <x v="38"/>
          </reference>
        </references>
      </pivotArea>
    </chartFormat>
    <chartFormat chart="2" format="156" series="1">
      <pivotArea type="data" outline="0" fieldPosition="0">
        <references count="2">
          <reference field="4294967294" count="1" selected="0">
            <x v="0"/>
          </reference>
          <reference field="29" count="1" selected="0">
            <x v="0"/>
          </reference>
        </references>
      </pivotArea>
    </chartFormat>
    <chartFormat chart="2" format="157" series="1">
      <pivotArea type="data" outline="0" fieldPosition="0">
        <references count="2">
          <reference field="4294967294" count="1" selected="0">
            <x v="1"/>
          </reference>
          <reference field="29" count="1" selected="0">
            <x v="0"/>
          </reference>
        </references>
      </pivotArea>
    </chartFormat>
    <chartFormat chart="2" format="158" series="1">
      <pivotArea type="data" outline="0" fieldPosition="0">
        <references count="2">
          <reference field="4294967294" count="1" selected="0">
            <x v="0"/>
          </reference>
          <reference field="29" count="1" selected="0">
            <x v="1"/>
          </reference>
        </references>
      </pivotArea>
    </chartFormat>
    <chartFormat chart="2" format="159" series="1">
      <pivotArea type="data" outline="0" fieldPosition="0">
        <references count="2">
          <reference field="4294967294" count="1" selected="0">
            <x v="1"/>
          </reference>
          <reference field="29" count="1" selected="0">
            <x v="1"/>
          </reference>
        </references>
      </pivotArea>
    </chartFormat>
    <chartFormat chart="2" format="160" series="1">
      <pivotArea type="data" outline="0" fieldPosition="0">
        <references count="2">
          <reference field="4294967294" count="1" selected="0">
            <x v="0"/>
          </reference>
          <reference field="29" count="1" selected="0">
            <x v="2"/>
          </reference>
        </references>
      </pivotArea>
    </chartFormat>
    <chartFormat chart="2" format="161" series="1">
      <pivotArea type="data" outline="0" fieldPosition="0">
        <references count="2">
          <reference field="4294967294" count="1" selected="0">
            <x v="1"/>
          </reference>
          <reference field="29" count="1" selected="0">
            <x v="2"/>
          </reference>
        </references>
      </pivotArea>
    </chartFormat>
    <chartFormat chart="2" format="162" series="1">
      <pivotArea type="data" outline="0" fieldPosition="0">
        <references count="2">
          <reference field="4294967294" count="1" selected="0">
            <x v="0"/>
          </reference>
          <reference field="29" count="1" selected="0">
            <x v="3"/>
          </reference>
        </references>
      </pivotArea>
    </chartFormat>
    <chartFormat chart="2" format="163" series="1">
      <pivotArea type="data" outline="0" fieldPosition="0">
        <references count="2">
          <reference field="4294967294" count="1" selected="0">
            <x v="1"/>
          </reference>
          <reference field="29" count="1" selected="0">
            <x v="3"/>
          </reference>
        </references>
      </pivotArea>
    </chartFormat>
    <chartFormat chart="2" format="164" series="1">
      <pivotArea type="data" outline="0" fieldPosition="0">
        <references count="2">
          <reference field="4294967294" count="1" selected="0">
            <x v="0"/>
          </reference>
          <reference field="29" count="1" selected="0">
            <x v="4"/>
          </reference>
        </references>
      </pivotArea>
    </chartFormat>
    <chartFormat chart="2" format="165" series="1">
      <pivotArea type="data" outline="0" fieldPosition="0">
        <references count="2">
          <reference field="4294967294" count="1" selected="0">
            <x v="1"/>
          </reference>
          <reference field="29" count="1" selected="0">
            <x v="4"/>
          </reference>
        </references>
      </pivotArea>
    </chartFormat>
    <chartFormat chart="2" format="166" series="1">
      <pivotArea type="data" outline="0" fieldPosition="0">
        <references count="2">
          <reference field="4294967294" count="1" selected="0">
            <x v="0"/>
          </reference>
          <reference field="29" count="1" selected="0">
            <x v="5"/>
          </reference>
        </references>
      </pivotArea>
    </chartFormat>
    <chartFormat chart="2" format="167" series="1">
      <pivotArea type="data" outline="0" fieldPosition="0">
        <references count="2">
          <reference field="4294967294" count="1" selected="0">
            <x v="1"/>
          </reference>
          <reference field="29" count="1" selected="0">
            <x v="5"/>
          </reference>
        </references>
      </pivotArea>
    </chartFormat>
    <chartFormat chart="2" format="168" series="1">
      <pivotArea type="data" outline="0" fieldPosition="0">
        <references count="2">
          <reference field="4294967294" count="1" selected="0">
            <x v="0"/>
          </reference>
          <reference field="29" count="1" selected="0">
            <x v="6"/>
          </reference>
        </references>
      </pivotArea>
    </chartFormat>
    <chartFormat chart="2" format="169" series="1">
      <pivotArea type="data" outline="0" fieldPosition="0">
        <references count="2">
          <reference field="4294967294" count="1" selected="0">
            <x v="1"/>
          </reference>
          <reference field="29" count="1" selected="0">
            <x v="6"/>
          </reference>
        </references>
      </pivotArea>
    </chartFormat>
    <chartFormat chart="2" format="170" series="1">
      <pivotArea type="data" outline="0" fieldPosition="0">
        <references count="2">
          <reference field="4294967294" count="1" selected="0">
            <x v="0"/>
          </reference>
          <reference field="29" count="1" selected="0">
            <x v="7"/>
          </reference>
        </references>
      </pivotArea>
    </chartFormat>
    <chartFormat chart="2" format="171" series="1">
      <pivotArea type="data" outline="0" fieldPosition="0">
        <references count="2">
          <reference field="4294967294" count="1" selected="0">
            <x v="1"/>
          </reference>
          <reference field="29" count="1" selected="0">
            <x v="7"/>
          </reference>
        </references>
      </pivotArea>
    </chartFormat>
    <chartFormat chart="2" format="172" series="1">
      <pivotArea type="data" outline="0" fieldPosition="0">
        <references count="2">
          <reference field="4294967294" count="1" selected="0">
            <x v="0"/>
          </reference>
          <reference field="29" count="1" selected="0">
            <x v="8"/>
          </reference>
        </references>
      </pivotArea>
    </chartFormat>
    <chartFormat chart="2" format="173" series="1">
      <pivotArea type="data" outline="0" fieldPosition="0">
        <references count="2">
          <reference field="4294967294" count="1" selected="0">
            <x v="1"/>
          </reference>
          <reference field="29" count="1" selected="0">
            <x v="8"/>
          </reference>
        </references>
      </pivotArea>
    </chartFormat>
    <chartFormat chart="2" format="174" series="1">
      <pivotArea type="data" outline="0" fieldPosition="0">
        <references count="2">
          <reference field="4294967294" count="1" selected="0">
            <x v="0"/>
          </reference>
          <reference field="29" count="1" selected="0">
            <x v="9"/>
          </reference>
        </references>
      </pivotArea>
    </chartFormat>
    <chartFormat chart="2" format="175" series="1">
      <pivotArea type="data" outline="0" fieldPosition="0">
        <references count="2">
          <reference field="4294967294" count="1" selected="0">
            <x v="1"/>
          </reference>
          <reference field="29" count="1" selected="0">
            <x v="9"/>
          </reference>
        </references>
      </pivotArea>
    </chartFormat>
    <chartFormat chart="2" format="176" series="1">
      <pivotArea type="data" outline="0" fieldPosition="0">
        <references count="2">
          <reference field="4294967294" count="1" selected="0">
            <x v="0"/>
          </reference>
          <reference field="29" count="1" selected="0">
            <x v="10"/>
          </reference>
        </references>
      </pivotArea>
    </chartFormat>
    <chartFormat chart="2" format="177" series="1">
      <pivotArea type="data" outline="0" fieldPosition="0">
        <references count="2">
          <reference field="4294967294" count="1" selected="0">
            <x v="1"/>
          </reference>
          <reference field="29" count="1" selected="0">
            <x v="10"/>
          </reference>
        </references>
      </pivotArea>
    </chartFormat>
    <chartFormat chart="2" format="178" series="1">
      <pivotArea type="data" outline="0" fieldPosition="0">
        <references count="2">
          <reference field="4294967294" count="1" selected="0">
            <x v="0"/>
          </reference>
          <reference field="29" count="1" selected="0">
            <x v="11"/>
          </reference>
        </references>
      </pivotArea>
    </chartFormat>
    <chartFormat chart="2" format="179" series="1">
      <pivotArea type="data" outline="0" fieldPosition="0">
        <references count="2">
          <reference field="4294967294" count="1" selected="0">
            <x v="1"/>
          </reference>
          <reference field="29" count="1" selected="0">
            <x v="11"/>
          </reference>
        </references>
      </pivotArea>
    </chartFormat>
    <chartFormat chart="2" format="180" series="1">
      <pivotArea type="data" outline="0" fieldPosition="0">
        <references count="2">
          <reference field="4294967294" count="1" selected="0">
            <x v="0"/>
          </reference>
          <reference field="29" count="1" selected="0">
            <x v="12"/>
          </reference>
        </references>
      </pivotArea>
    </chartFormat>
    <chartFormat chart="2" format="181" series="1">
      <pivotArea type="data" outline="0" fieldPosition="0">
        <references count="2">
          <reference field="4294967294" count="1" selected="0">
            <x v="1"/>
          </reference>
          <reference field="29" count="1" selected="0">
            <x v="12"/>
          </reference>
        </references>
      </pivotArea>
    </chartFormat>
    <chartFormat chart="2" format="182" series="1">
      <pivotArea type="data" outline="0" fieldPosition="0">
        <references count="2">
          <reference field="4294967294" count="1" selected="0">
            <x v="0"/>
          </reference>
          <reference field="29" count="1" selected="0">
            <x v="13"/>
          </reference>
        </references>
      </pivotArea>
    </chartFormat>
    <chartFormat chart="2" format="183" series="1">
      <pivotArea type="data" outline="0" fieldPosition="0">
        <references count="2">
          <reference field="4294967294" count="1" selected="0">
            <x v="1"/>
          </reference>
          <reference field="29" count="1" selected="0">
            <x v="13"/>
          </reference>
        </references>
      </pivotArea>
    </chartFormat>
    <chartFormat chart="2" format="184" series="1">
      <pivotArea type="data" outline="0" fieldPosition="0">
        <references count="2">
          <reference field="4294967294" count="1" selected="0">
            <x v="0"/>
          </reference>
          <reference field="29" count="1" selected="0">
            <x v="14"/>
          </reference>
        </references>
      </pivotArea>
    </chartFormat>
    <chartFormat chart="2" format="185" series="1">
      <pivotArea type="data" outline="0" fieldPosition="0">
        <references count="2">
          <reference field="4294967294" count="1" selected="0">
            <x v="1"/>
          </reference>
          <reference field="29" count="1" selected="0">
            <x v="14"/>
          </reference>
        </references>
      </pivotArea>
    </chartFormat>
    <chartFormat chart="2" format="186" series="1">
      <pivotArea type="data" outline="0" fieldPosition="0">
        <references count="2">
          <reference field="4294967294" count="1" selected="0">
            <x v="0"/>
          </reference>
          <reference field="29" count="1" selected="0">
            <x v="15"/>
          </reference>
        </references>
      </pivotArea>
    </chartFormat>
    <chartFormat chart="2" format="187" series="1">
      <pivotArea type="data" outline="0" fieldPosition="0">
        <references count="2">
          <reference field="4294967294" count="1" selected="0">
            <x v="1"/>
          </reference>
          <reference field="29" count="1" selected="0">
            <x v="15"/>
          </reference>
        </references>
      </pivotArea>
    </chartFormat>
    <chartFormat chart="2" format="188" series="1">
      <pivotArea type="data" outline="0" fieldPosition="0">
        <references count="2">
          <reference field="4294967294" count="1" selected="0">
            <x v="0"/>
          </reference>
          <reference field="29" count="1" selected="0">
            <x v="16"/>
          </reference>
        </references>
      </pivotArea>
    </chartFormat>
    <chartFormat chart="2" format="189" series="1">
      <pivotArea type="data" outline="0" fieldPosition="0">
        <references count="2">
          <reference field="4294967294" count="1" selected="0">
            <x v="1"/>
          </reference>
          <reference field="29" count="1" selected="0">
            <x v="16"/>
          </reference>
        </references>
      </pivotArea>
    </chartFormat>
    <chartFormat chart="2" format="190" series="1">
      <pivotArea type="data" outline="0" fieldPosition="0">
        <references count="2">
          <reference field="4294967294" count="1" selected="0">
            <x v="0"/>
          </reference>
          <reference field="29" count="1" selected="0">
            <x v="17"/>
          </reference>
        </references>
      </pivotArea>
    </chartFormat>
    <chartFormat chart="2" format="191" series="1">
      <pivotArea type="data" outline="0" fieldPosition="0">
        <references count="2">
          <reference field="4294967294" count="1" selected="0">
            <x v="1"/>
          </reference>
          <reference field="29" count="1" selected="0">
            <x v="17"/>
          </reference>
        </references>
      </pivotArea>
    </chartFormat>
    <chartFormat chart="2" format="192" series="1">
      <pivotArea type="data" outline="0" fieldPosition="0">
        <references count="2">
          <reference field="4294967294" count="1" selected="0">
            <x v="0"/>
          </reference>
          <reference field="29" count="1" selected="0">
            <x v="18"/>
          </reference>
        </references>
      </pivotArea>
    </chartFormat>
    <chartFormat chart="2" format="193" series="1">
      <pivotArea type="data" outline="0" fieldPosition="0">
        <references count="2">
          <reference field="4294967294" count="1" selected="0">
            <x v="1"/>
          </reference>
          <reference field="29" count="1" selected="0">
            <x v="18"/>
          </reference>
        </references>
      </pivotArea>
    </chartFormat>
    <chartFormat chart="2" format="194" series="1">
      <pivotArea type="data" outline="0" fieldPosition="0">
        <references count="2">
          <reference field="4294967294" count="1" selected="0">
            <x v="0"/>
          </reference>
          <reference field="29" count="1" selected="0">
            <x v="19"/>
          </reference>
        </references>
      </pivotArea>
    </chartFormat>
    <chartFormat chart="2" format="195" series="1">
      <pivotArea type="data" outline="0" fieldPosition="0">
        <references count="2">
          <reference field="4294967294" count="1" selected="0">
            <x v="1"/>
          </reference>
          <reference field="29" count="1" selected="0">
            <x v="19"/>
          </reference>
        </references>
      </pivotArea>
    </chartFormat>
    <chartFormat chart="2" format="196" series="1">
      <pivotArea type="data" outline="0" fieldPosition="0">
        <references count="2">
          <reference field="4294967294" count="1" selected="0">
            <x v="0"/>
          </reference>
          <reference field="29" count="1" selected="0">
            <x v="20"/>
          </reference>
        </references>
      </pivotArea>
    </chartFormat>
    <chartFormat chart="2" format="197" series="1">
      <pivotArea type="data" outline="0" fieldPosition="0">
        <references count="2">
          <reference field="4294967294" count="1" selected="0">
            <x v="1"/>
          </reference>
          <reference field="29" count="1" selected="0">
            <x v="20"/>
          </reference>
        </references>
      </pivotArea>
    </chartFormat>
    <chartFormat chart="2" format="198" series="1">
      <pivotArea type="data" outline="0" fieldPosition="0">
        <references count="2">
          <reference field="4294967294" count="1" selected="0">
            <x v="0"/>
          </reference>
          <reference field="29" count="1" selected="0">
            <x v="21"/>
          </reference>
        </references>
      </pivotArea>
    </chartFormat>
    <chartFormat chart="2" format="199" series="1">
      <pivotArea type="data" outline="0" fieldPosition="0">
        <references count="2">
          <reference field="4294967294" count="1" selected="0">
            <x v="1"/>
          </reference>
          <reference field="29" count="1" selected="0">
            <x v="21"/>
          </reference>
        </references>
      </pivotArea>
    </chartFormat>
    <chartFormat chart="2" format="200" series="1">
      <pivotArea type="data" outline="0" fieldPosition="0">
        <references count="2">
          <reference field="4294967294" count="1" selected="0">
            <x v="0"/>
          </reference>
          <reference field="29" count="1" selected="0">
            <x v="22"/>
          </reference>
        </references>
      </pivotArea>
    </chartFormat>
    <chartFormat chart="2" format="201" series="1">
      <pivotArea type="data" outline="0" fieldPosition="0">
        <references count="2">
          <reference field="4294967294" count="1" selected="0">
            <x v="1"/>
          </reference>
          <reference field="29" count="1" selected="0">
            <x v="22"/>
          </reference>
        </references>
      </pivotArea>
    </chartFormat>
    <chartFormat chart="2" format="202" series="1">
      <pivotArea type="data" outline="0" fieldPosition="0">
        <references count="2">
          <reference field="4294967294" count="1" selected="0">
            <x v="0"/>
          </reference>
          <reference field="29" count="1" selected="0">
            <x v="23"/>
          </reference>
        </references>
      </pivotArea>
    </chartFormat>
    <chartFormat chart="2" format="203" series="1">
      <pivotArea type="data" outline="0" fieldPosition="0">
        <references count="2">
          <reference field="4294967294" count="1" selected="0">
            <x v="1"/>
          </reference>
          <reference field="29" count="1" selected="0">
            <x v="23"/>
          </reference>
        </references>
      </pivotArea>
    </chartFormat>
    <chartFormat chart="2" format="204" series="1">
      <pivotArea type="data" outline="0" fieldPosition="0">
        <references count="2">
          <reference field="4294967294" count="1" selected="0">
            <x v="0"/>
          </reference>
          <reference field="29" count="1" selected="0">
            <x v="24"/>
          </reference>
        </references>
      </pivotArea>
    </chartFormat>
    <chartFormat chart="2" format="205" series="1">
      <pivotArea type="data" outline="0" fieldPosition="0">
        <references count="2">
          <reference field="4294967294" count="1" selected="0">
            <x v="1"/>
          </reference>
          <reference field="29" count="1" selected="0">
            <x v="24"/>
          </reference>
        </references>
      </pivotArea>
    </chartFormat>
    <chartFormat chart="2" format="206" series="1">
      <pivotArea type="data" outline="0" fieldPosition="0">
        <references count="2">
          <reference field="4294967294" count="1" selected="0">
            <x v="0"/>
          </reference>
          <reference field="29" count="1" selected="0">
            <x v="25"/>
          </reference>
        </references>
      </pivotArea>
    </chartFormat>
    <chartFormat chart="2" format="207" series="1">
      <pivotArea type="data" outline="0" fieldPosition="0">
        <references count="2">
          <reference field="4294967294" count="1" selected="0">
            <x v="1"/>
          </reference>
          <reference field="29" count="1" selected="0">
            <x v="25"/>
          </reference>
        </references>
      </pivotArea>
    </chartFormat>
    <chartFormat chart="2" format="208" series="1">
      <pivotArea type="data" outline="0" fieldPosition="0">
        <references count="2">
          <reference field="4294967294" count="1" selected="0">
            <x v="0"/>
          </reference>
          <reference field="29" count="1" selected="0">
            <x v="26"/>
          </reference>
        </references>
      </pivotArea>
    </chartFormat>
    <chartFormat chart="2" format="209" series="1">
      <pivotArea type="data" outline="0" fieldPosition="0">
        <references count="2">
          <reference field="4294967294" count="1" selected="0">
            <x v="1"/>
          </reference>
          <reference field="29" count="1" selected="0">
            <x v="26"/>
          </reference>
        </references>
      </pivotArea>
    </chartFormat>
    <chartFormat chart="2" format="210" series="1">
      <pivotArea type="data" outline="0" fieldPosition="0">
        <references count="2">
          <reference field="4294967294" count="1" selected="0">
            <x v="0"/>
          </reference>
          <reference field="29" count="1" selected="0">
            <x v="27"/>
          </reference>
        </references>
      </pivotArea>
    </chartFormat>
    <chartFormat chart="2" format="211" series="1">
      <pivotArea type="data" outline="0" fieldPosition="0">
        <references count="2">
          <reference field="4294967294" count="1" selected="0">
            <x v="1"/>
          </reference>
          <reference field="29" count="1" selected="0">
            <x v="27"/>
          </reference>
        </references>
      </pivotArea>
    </chartFormat>
    <chartFormat chart="2" format="212" series="1">
      <pivotArea type="data" outline="0" fieldPosition="0">
        <references count="2">
          <reference field="4294967294" count="1" selected="0">
            <x v="0"/>
          </reference>
          <reference field="29" count="1" selected="0">
            <x v="28"/>
          </reference>
        </references>
      </pivotArea>
    </chartFormat>
    <chartFormat chart="2" format="213" series="1">
      <pivotArea type="data" outline="0" fieldPosition="0">
        <references count="2">
          <reference field="4294967294" count="1" selected="0">
            <x v="1"/>
          </reference>
          <reference field="29" count="1" selected="0">
            <x v="28"/>
          </reference>
        </references>
      </pivotArea>
    </chartFormat>
    <chartFormat chart="2" format="214" series="1">
      <pivotArea type="data" outline="0" fieldPosition="0">
        <references count="2">
          <reference field="4294967294" count="1" selected="0">
            <x v="0"/>
          </reference>
          <reference field="29" count="1" selected="0">
            <x v="29"/>
          </reference>
        </references>
      </pivotArea>
    </chartFormat>
    <chartFormat chart="2" format="215" series="1">
      <pivotArea type="data" outline="0" fieldPosition="0">
        <references count="2">
          <reference field="4294967294" count="1" selected="0">
            <x v="1"/>
          </reference>
          <reference field="29" count="1" selected="0">
            <x v="29"/>
          </reference>
        </references>
      </pivotArea>
    </chartFormat>
    <chartFormat chart="2" format="216" series="1">
      <pivotArea type="data" outline="0" fieldPosition="0">
        <references count="2">
          <reference field="4294967294" count="1" selected="0">
            <x v="0"/>
          </reference>
          <reference field="29" count="1" selected="0">
            <x v="30"/>
          </reference>
        </references>
      </pivotArea>
    </chartFormat>
    <chartFormat chart="2" format="217" series="1">
      <pivotArea type="data" outline="0" fieldPosition="0">
        <references count="2">
          <reference field="4294967294" count="1" selected="0">
            <x v="1"/>
          </reference>
          <reference field="29" count="1" selected="0">
            <x v="30"/>
          </reference>
        </references>
      </pivotArea>
    </chartFormat>
    <chartFormat chart="2" format="218" series="1">
      <pivotArea type="data" outline="0" fieldPosition="0">
        <references count="2">
          <reference field="4294967294" count="1" selected="0">
            <x v="0"/>
          </reference>
          <reference field="29" count="1" selected="0">
            <x v="31"/>
          </reference>
        </references>
      </pivotArea>
    </chartFormat>
    <chartFormat chart="2" format="219" series="1">
      <pivotArea type="data" outline="0" fieldPosition="0">
        <references count="2">
          <reference field="4294967294" count="1" selected="0">
            <x v="1"/>
          </reference>
          <reference field="29" count="1" selected="0">
            <x v="31"/>
          </reference>
        </references>
      </pivotArea>
    </chartFormat>
    <chartFormat chart="2" format="220" series="1">
      <pivotArea type="data" outline="0" fieldPosition="0">
        <references count="2">
          <reference field="4294967294" count="1" selected="0">
            <x v="0"/>
          </reference>
          <reference field="29" count="1" selected="0">
            <x v="32"/>
          </reference>
        </references>
      </pivotArea>
    </chartFormat>
    <chartFormat chart="2" format="221" series="1">
      <pivotArea type="data" outline="0" fieldPosition="0">
        <references count="2">
          <reference field="4294967294" count="1" selected="0">
            <x v="1"/>
          </reference>
          <reference field="29" count="1" selected="0">
            <x v="32"/>
          </reference>
        </references>
      </pivotArea>
    </chartFormat>
    <chartFormat chart="2" format="222" series="1">
      <pivotArea type="data" outline="0" fieldPosition="0">
        <references count="2">
          <reference field="4294967294" count="1" selected="0">
            <x v="0"/>
          </reference>
          <reference field="29" count="1" selected="0">
            <x v="33"/>
          </reference>
        </references>
      </pivotArea>
    </chartFormat>
    <chartFormat chart="2" format="223" series="1">
      <pivotArea type="data" outline="0" fieldPosition="0">
        <references count="2">
          <reference field="4294967294" count="1" selected="0">
            <x v="1"/>
          </reference>
          <reference field="29" count="1" selected="0">
            <x v="33"/>
          </reference>
        </references>
      </pivotArea>
    </chartFormat>
    <chartFormat chart="2" format="224" series="1">
      <pivotArea type="data" outline="0" fieldPosition="0">
        <references count="2">
          <reference field="4294967294" count="1" selected="0">
            <x v="0"/>
          </reference>
          <reference field="29" count="1" selected="0">
            <x v="34"/>
          </reference>
        </references>
      </pivotArea>
    </chartFormat>
    <chartFormat chart="2" format="225" series="1">
      <pivotArea type="data" outline="0" fieldPosition="0">
        <references count="2">
          <reference field="4294967294" count="1" selected="0">
            <x v="1"/>
          </reference>
          <reference field="29" count="1" selected="0">
            <x v="34"/>
          </reference>
        </references>
      </pivotArea>
    </chartFormat>
    <chartFormat chart="2" format="226" series="1">
      <pivotArea type="data" outline="0" fieldPosition="0">
        <references count="2">
          <reference field="4294967294" count="1" selected="0">
            <x v="0"/>
          </reference>
          <reference field="29" count="1" selected="0">
            <x v="35"/>
          </reference>
        </references>
      </pivotArea>
    </chartFormat>
    <chartFormat chart="2" format="227" series="1">
      <pivotArea type="data" outline="0" fieldPosition="0">
        <references count="2">
          <reference field="4294967294" count="1" selected="0">
            <x v="1"/>
          </reference>
          <reference field="29" count="1" selected="0">
            <x v="35"/>
          </reference>
        </references>
      </pivotArea>
    </chartFormat>
    <chartFormat chart="2" format="228" series="1">
      <pivotArea type="data" outline="0" fieldPosition="0">
        <references count="2">
          <reference field="4294967294" count="1" selected="0">
            <x v="0"/>
          </reference>
          <reference field="29" count="1" selected="0">
            <x v="36"/>
          </reference>
        </references>
      </pivotArea>
    </chartFormat>
    <chartFormat chart="2" format="229" series="1">
      <pivotArea type="data" outline="0" fieldPosition="0">
        <references count="2">
          <reference field="4294967294" count="1" selected="0">
            <x v="1"/>
          </reference>
          <reference field="29" count="1" selected="0">
            <x v="36"/>
          </reference>
        </references>
      </pivotArea>
    </chartFormat>
    <chartFormat chart="2" format="230" series="1">
      <pivotArea type="data" outline="0" fieldPosition="0">
        <references count="2">
          <reference field="4294967294" count="1" selected="0">
            <x v="0"/>
          </reference>
          <reference field="29" count="1" selected="0">
            <x v="37"/>
          </reference>
        </references>
      </pivotArea>
    </chartFormat>
    <chartFormat chart="2" format="231" series="1">
      <pivotArea type="data" outline="0" fieldPosition="0">
        <references count="2">
          <reference field="4294967294" count="1" selected="0">
            <x v="1"/>
          </reference>
          <reference field="29" count="1" selected="0">
            <x v="37"/>
          </reference>
        </references>
      </pivotArea>
    </chartFormat>
    <chartFormat chart="2" format="232" series="1">
      <pivotArea type="data" outline="0" fieldPosition="0">
        <references count="2">
          <reference field="4294967294" count="1" selected="0">
            <x v="0"/>
          </reference>
          <reference field="29" count="1" selected="0">
            <x v="38"/>
          </reference>
        </references>
      </pivotArea>
    </chartFormat>
    <chartFormat chart="2" format="233" series="1">
      <pivotArea type="data" outline="0" fieldPosition="0">
        <references count="2">
          <reference field="4294967294" count="1" selected="0">
            <x v="1"/>
          </reference>
          <reference field="29" count="1" selected="0">
            <x v="38"/>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A79E3981-6636-4C0E-8777-1151CBC0B2F5}" name="PivotTable1" cacheId="2024"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chartFormat="3">
  <location ref="B3:F19" firstHeaderRow="1" firstDataRow="3" firstDataCol="1"/>
  <pivotFields count="54">
    <pivotField showAll="0"/>
    <pivotField axis="axisRow" numFmtId="14" showAll="0">
      <items count="14">
        <item x="7"/>
        <item x="8"/>
        <item x="9"/>
        <item x="10"/>
        <item x="11"/>
        <item x="12"/>
        <item x="0"/>
        <item x="1"/>
        <item x="2"/>
        <item x="3"/>
        <item x="4"/>
        <item x="5"/>
        <item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showAll="0">
      <items count="40">
        <item x="12"/>
        <item h="1" x="5"/>
        <item h="1" x="6"/>
        <item h="1" x="19"/>
        <item h="1" x="37"/>
        <item h="1" x="24"/>
        <item h="1" x="35"/>
        <item h="1" x="17"/>
        <item h="1" x="23"/>
        <item h="1" x="2"/>
        <item h="1" x="31"/>
        <item h="1" x="21"/>
        <item h="1" x="15"/>
        <item h="1" x="36"/>
        <item h="1" x="0"/>
        <item h="1" x="13"/>
        <item h="1" x="29"/>
        <item h="1" x="32"/>
        <item h="1" x="33"/>
        <item h="1" x="27"/>
        <item h="1" x="3"/>
        <item h="1" x="38"/>
        <item h="1" x="26"/>
        <item h="1" x="22"/>
        <item h="1" x="20"/>
        <item h="1" x="9"/>
        <item h="1" x="7"/>
        <item h="1" x="11"/>
        <item h="1" x="14"/>
        <item h="1" x="10"/>
        <item h="1" x="30"/>
        <item h="1" x="1"/>
        <item h="1" x="28"/>
        <item h="1" x="34"/>
        <item h="1" x="18"/>
        <item h="1" x="8"/>
        <item h="1" x="4"/>
        <item h="1" x="16"/>
        <item h="1" x="25"/>
        <item t="default"/>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1"/>
  </rowFields>
  <rowItems count="14">
    <i>
      <x/>
    </i>
    <i>
      <x v="1"/>
    </i>
    <i>
      <x v="2"/>
    </i>
    <i>
      <x v="3"/>
    </i>
    <i>
      <x v="4"/>
    </i>
    <i>
      <x v="5"/>
    </i>
    <i>
      <x v="6"/>
    </i>
    <i>
      <x v="7"/>
    </i>
    <i>
      <x v="8"/>
    </i>
    <i>
      <x v="9"/>
    </i>
    <i>
      <x v="10"/>
    </i>
    <i>
      <x v="11"/>
    </i>
    <i>
      <x v="12"/>
    </i>
    <i t="grand">
      <x/>
    </i>
  </rowItems>
  <colFields count="2">
    <field x="29"/>
    <field x="-2"/>
  </colFields>
  <colItems count="4">
    <i>
      <x/>
      <x/>
    </i>
    <i r="1" i="1">
      <x v="1"/>
    </i>
    <i t="grand">
      <x/>
    </i>
    <i t="grand" i="1">
      <x/>
    </i>
  </colItems>
  <dataFields count="2">
    <dataField name="COPD Review %" fld="37" baseField="1" baseItem="0"/>
    <dataField name=" Target 80%" fld="36" baseField="1" baseItem="0"/>
  </dataFields>
  <chartFormats count="78">
    <chartFormat chart="2" format="160" series="1">
      <pivotArea type="data" outline="0" fieldPosition="0">
        <references count="2">
          <reference field="4294967294" count="1" selected="0">
            <x v="1"/>
          </reference>
          <reference field="29" count="1" selected="0">
            <x v="0"/>
          </reference>
        </references>
      </pivotArea>
    </chartFormat>
    <chartFormat chart="2" format="161" series="1">
      <pivotArea type="data" outline="0" fieldPosition="0">
        <references count="2">
          <reference field="4294967294" count="1" selected="0">
            <x v="0"/>
          </reference>
          <reference field="29" count="1" selected="0">
            <x v="0"/>
          </reference>
        </references>
      </pivotArea>
    </chartFormat>
    <chartFormat chart="2" format="162" series="1">
      <pivotArea type="data" outline="0" fieldPosition="0">
        <references count="2">
          <reference field="4294967294" count="1" selected="0">
            <x v="0"/>
          </reference>
          <reference field="29" count="1" selected="0">
            <x v="1"/>
          </reference>
        </references>
      </pivotArea>
    </chartFormat>
    <chartFormat chart="2" format="163" series="1">
      <pivotArea type="data" outline="0" fieldPosition="0">
        <references count="2">
          <reference field="4294967294" count="1" selected="0">
            <x v="1"/>
          </reference>
          <reference field="29" count="1" selected="0">
            <x v="1"/>
          </reference>
        </references>
      </pivotArea>
    </chartFormat>
    <chartFormat chart="2" format="164" series="1">
      <pivotArea type="data" outline="0" fieldPosition="0">
        <references count="2">
          <reference field="4294967294" count="1" selected="0">
            <x v="0"/>
          </reference>
          <reference field="29" count="1" selected="0">
            <x v="2"/>
          </reference>
        </references>
      </pivotArea>
    </chartFormat>
    <chartFormat chart="2" format="165" series="1">
      <pivotArea type="data" outline="0" fieldPosition="0">
        <references count="2">
          <reference field="4294967294" count="1" selected="0">
            <x v="1"/>
          </reference>
          <reference field="29" count="1" selected="0">
            <x v="2"/>
          </reference>
        </references>
      </pivotArea>
    </chartFormat>
    <chartFormat chart="2" format="166" series="1">
      <pivotArea type="data" outline="0" fieldPosition="0">
        <references count="2">
          <reference field="4294967294" count="1" selected="0">
            <x v="0"/>
          </reference>
          <reference field="29" count="1" selected="0">
            <x v="3"/>
          </reference>
        </references>
      </pivotArea>
    </chartFormat>
    <chartFormat chart="2" format="167" series="1">
      <pivotArea type="data" outline="0" fieldPosition="0">
        <references count="2">
          <reference field="4294967294" count="1" selected="0">
            <x v="1"/>
          </reference>
          <reference field="29" count="1" selected="0">
            <x v="3"/>
          </reference>
        </references>
      </pivotArea>
    </chartFormat>
    <chartFormat chart="2" format="168" series="1">
      <pivotArea type="data" outline="0" fieldPosition="0">
        <references count="2">
          <reference field="4294967294" count="1" selected="0">
            <x v="0"/>
          </reference>
          <reference field="29" count="1" selected="0">
            <x v="4"/>
          </reference>
        </references>
      </pivotArea>
    </chartFormat>
    <chartFormat chart="2" format="169" series="1">
      <pivotArea type="data" outline="0" fieldPosition="0">
        <references count="2">
          <reference field="4294967294" count="1" selected="0">
            <x v="1"/>
          </reference>
          <reference field="29" count="1" selected="0">
            <x v="4"/>
          </reference>
        </references>
      </pivotArea>
    </chartFormat>
    <chartFormat chart="2" format="170" series="1">
      <pivotArea type="data" outline="0" fieldPosition="0">
        <references count="2">
          <reference field="4294967294" count="1" selected="0">
            <x v="0"/>
          </reference>
          <reference field="29" count="1" selected="0">
            <x v="5"/>
          </reference>
        </references>
      </pivotArea>
    </chartFormat>
    <chartFormat chart="2" format="171" series="1">
      <pivotArea type="data" outline="0" fieldPosition="0">
        <references count="2">
          <reference field="4294967294" count="1" selected="0">
            <x v="1"/>
          </reference>
          <reference field="29" count="1" selected="0">
            <x v="5"/>
          </reference>
        </references>
      </pivotArea>
    </chartFormat>
    <chartFormat chart="2" format="172" series="1">
      <pivotArea type="data" outline="0" fieldPosition="0">
        <references count="2">
          <reference field="4294967294" count="1" selected="0">
            <x v="0"/>
          </reference>
          <reference field="29" count="1" selected="0">
            <x v="6"/>
          </reference>
        </references>
      </pivotArea>
    </chartFormat>
    <chartFormat chart="2" format="173" series="1">
      <pivotArea type="data" outline="0" fieldPosition="0">
        <references count="2">
          <reference field="4294967294" count="1" selected="0">
            <x v="1"/>
          </reference>
          <reference field="29" count="1" selected="0">
            <x v="6"/>
          </reference>
        </references>
      </pivotArea>
    </chartFormat>
    <chartFormat chart="2" format="174" series="1">
      <pivotArea type="data" outline="0" fieldPosition="0">
        <references count="2">
          <reference field="4294967294" count="1" selected="0">
            <x v="0"/>
          </reference>
          <reference field="29" count="1" selected="0">
            <x v="7"/>
          </reference>
        </references>
      </pivotArea>
    </chartFormat>
    <chartFormat chart="2" format="175" series="1">
      <pivotArea type="data" outline="0" fieldPosition="0">
        <references count="2">
          <reference field="4294967294" count="1" selected="0">
            <x v="1"/>
          </reference>
          <reference field="29" count="1" selected="0">
            <x v="7"/>
          </reference>
        </references>
      </pivotArea>
    </chartFormat>
    <chartFormat chart="2" format="176" series="1">
      <pivotArea type="data" outline="0" fieldPosition="0">
        <references count="2">
          <reference field="4294967294" count="1" selected="0">
            <x v="0"/>
          </reference>
          <reference field="29" count="1" selected="0">
            <x v="8"/>
          </reference>
        </references>
      </pivotArea>
    </chartFormat>
    <chartFormat chart="2" format="177" series="1">
      <pivotArea type="data" outline="0" fieldPosition="0">
        <references count="2">
          <reference field="4294967294" count="1" selected="0">
            <x v="1"/>
          </reference>
          <reference field="29" count="1" selected="0">
            <x v="8"/>
          </reference>
        </references>
      </pivotArea>
    </chartFormat>
    <chartFormat chart="2" format="178" series="1">
      <pivotArea type="data" outline="0" fieldPosition="0">
        <references count="2">
          <reference field="4294967294" count="1" selected="0">
            <x v="0"/>
          </reference>
          <reference field="29" count="1" selected="0">
            <x v="9"/>
          </reference>
        </references>
      </pivotArea>
    </chartFormat>
    <chartFormat chart="2" format="179" series="1">
      <pivotArea type="data" outline="0" fieldPosition="0">
        <references count="2">
          <reference field="4294967294" count="1" selected="0">
            <x v="1"/>
          </reference>
          <reference field="29" count="1" selected="0">
            <x v="9"/>
          </reference>
        </references>
      </pivotArea>
    </chartFormat>
    <chartFormat chart="2" format="180" series="1">
      <pivotArea type="data" outline="0" fieldPosition="0">
        <references count="2">
          <reference field="4294967294" count="1" selected="0">
            <x v="0"/>
          </reference>
          <reference field="29" count="1" selected="0">
            <x v="10"/>
          </reference>
        </references>
      </pivotArea>
    </chartFormat>
    <chartFormat chart="2" format="181" series="1">
      <pivotArea type="data" outline="0" fieldPosition="0">
        <references count="2">
          <reference field="4294967294" count="1" selected="0">
            <x v="1"/>
          </reference>
          <reference field="29" count="1" selected="0">
            <x v="10"/>
          </reference>
        </references>
      </pivotArea>
    </chartFormat>
    <chartFormat chart="2" format="182" series="1">
      <pivotArea type="data" outline="0" fieldPosition="0">
        <references count="2">
          <reference field="4294967294" count="1" selected="0">
            <x v="0"/>
          </reference>
          <reference field="29" count="1" selected="0">
            <x v="11"/>
          </reference>
        </references>
      </pivotArea>
    </chartFormat>
    <chartFormat chart="2" format="183" series="1">
      <pivotArea type="data" outline="0" fieldPosition="0">
        <references count="2">
          <reference field="4294967294" count="1" selected="0">
            <x v="1"/>
          </reference>
          <reference field="29" count="1" selected="0">
            <x v="11"/>
          </reference>
        </references>
      </pivotArea>
    </chartFormat>
    <chartFormat chart="2" format="184" series="1">
      <pivotArea type="data" outline="0" fieldPosition="0">
        <references count="2">
          <reference field="4294967294" count="1" selected="0">
            <x v="0"/>
          </reference>
          <reference field="29" count="1" selected="0">
            <x v="12"/>
          </reference>
        </references>
      </pivotArea>
    </chartFormat>
    <chartFormat chart="2" format="185" series="1">
      <pivotArea type="data" outline="0" fieldPosition="0">
        <references count="2">
          <reference field="4294967294" count="1" selected="0">
            <x v="1"/>
          </reference>
          <reference field="29" count="1" selected="0">
            <x v="12"/>
          </reference>
        </references>
      </pivotArea>
    </chartFormat>
    <chartFormat chart="2" format="186" series="1">
      <pivotArea type="data" outline="0" fieldPosition="0">
        <references count="2">
          <reference field="4294967294" count="1" selected="0">
            <x v="0"/>
          </reference>
          <reference field="29" count="1" selected="0">
            <x v="13"/>
          </reference>
        </references>
      </pivotArea>
    </chartFormat>
    <chartFormat chart="2" format="187" series="1">
      <pivotArea type="data" outline="0" fieldPosition="0">
        <references count="2">
          <reference field="4294967294" count="1" selected="0">
            <x v="1"/>
          </reference>
          <reference field="29" count="1" selected="0">
            <x v="13"/>
          </reference>
        </references>
      </pivotArea>
    </chartFormat>
    <chartFormat chart="2" format="188" series="1">
      <pivotArea type="data" outline="0" fieldPosition="0">
        <references count="2">
          <reference field="4294967294" count="1" selected="0">
            <x v="0"/>
          </reference>
          <reference field="29" count="1" selected="0">
            <x v="14"/>
          </reference>
        </references>
      </pivotArea>
    </chartFormat>
    <chartFormat chart="2" format="189" series="1">
      <pivotArea type="data" outline="0" fieldPosition="0">
        <references count="2">
          <reference field="4294967294" count="1" selected="0">
            <x v="1"/>
          </reference>
          <reference field="29" count="1" selected="0">
            <x v="14"/>
          </reference>
        </references>
      </pivotArea>
    </chartFormat>
    <chartFormat chart="2" format="190" series="1">
      <pivotArea type="data" outline="0" fieldPosition="0">
        <references count="2">
          <reference field="4294967294" count="1" selected="0">
            <x v="0"/>
          </reference>
          <reference field="29" count="1" selected="0">
            <x v="15"/>
          </reference>
        </references>
      </pivotArea>
    </chartFormat>
    <chartFormat chart="2" format="191" series="1">
      <pivotArea type="data" outline="0" fieldPosition="0">
        <references count="2">
          <reference field="4294967294" count="1" selected="0">
            <x v="1"/>
          </reference>
          <reference field="29" count="1" selected="0">
            <x v="15"/>
          </reference>
        </references>
      </pivotArea>
    </chartFormat>
    <chartFormat chart="2" format="192" series="1">
      <pivotArea type="data" outline="0" fieldPosition="0">
        <references count="2">
          <reference field="4294967294" count="1" selected="0">
            <x v="0"/>
          </reference>
          <reference field="29" count="1" selected="0">
            <x v="16"/>
          </reference>
        </references>
      </pivotArea>
    </chartFormat>
    <chartFormat chart="2" format="193" series="1">
      <pivotArea type="data" outline="0" fieldPosition="0">
        <references count="2">
          <reference field="4294967294" count="1" selected="0">
            <x v="1"/>
          </reference>
          <reference field="29" count="1" selected="0">
            <x v="16"/>
          </reference>
        </references>
      </pivotArea>
    </chartFormat>
    <chartFormat chart="2" format="194" series="1">
      <pivotArea type="data" outline="0" fieldPosition="0">
        <references count="2">
          <reference field="4294967294" count="1" selected="0">
            <x v="0"/>
          </reference>
          <reference field="29" count="1" selected="0">
            <x v="17"/>
          </reference>
        </references>
      </pivotArea>
    </chartFormat>
    <chartFormat chart="2" format="195" series="1">
      <pivotArea type="data" outline="0" fieldPosition="0">
        <references count="2">
          <reference field="4294967294" count="1" selected="0">
            <x v="1"/>
          </reference>
          <reference field="29" count="1" selected="0">
            <x v="17"/>
          </reference>
        </references>
      </pivotArea>
    </chartFormat>
    <chartFormat chart="2" format="196" series="1">
      <pivotArea type="data" outline="0" fieldPosition="0">
        <references count="2">
          <reference field="4294967294" count="1" selected="0">
            <x v="0"/>
          </reference>
          <reference field="29" count="1" selected="0">
            <x v="18"/>
          </reference>
        </references>
      </pivotArea>
    </chartFormat>
    <chartFormat chart="2" format="197" series="1">
      <pivotArea type="data" outline="0" fieldPosition="0">
        <references count="2">
          <reference field="4294967294" count="1" selected="0">
            <x v="1"/>
          </reference>
          <reference field="29" count="1" selected="0">
            <x v="18"/>
          </reference>
        </references>
      </pivotArea>
    </chartFormat>
    <chartFormat chart="2" format="198" series="1">
      <pivotArea type="data" outline="0" fieldPosition="0">
        <references count="2">
          <reference field="4294967294" count="1" selected="0">
            <x v="0"/>
          </reference>
          <reference field="29" count="1" selected="0">
            <x v="19"/>
          </reference>
        </references>
      </pivotArea>
    </chartFormat>
    <chartFormat chart="2" format="199" series="1">
      <pivotArea type="data" outline="0" fieldPosition="0">
        <references count="2">
          <reference field="4294967294" count="1" selected="0">
            <x v="1"/>
          </reference>
          <reference field="29" count="1" selected="0">
            <x v="19"/>
          </reference>
        </references>
      </pivotArea>
    </chartFormat>
    <chartFormat chart="2" format="200" series="1">
      <pivotArea type="data" outline="0" fieldPosition="0">
        <references count="2">
          <reference field="4294967294" count="1" selected="0">
            <x v="0"/>
          </reference>
          <reference field="29" count="1" selected="0">
            <x v="20"/>
          </reference>
        </references>
      </pivotArea>
    </chartFormat>
    <chartFormat chart="2" format="201" series="1">
      <pivotArea type="data" outline="0" fieldPosition="0">
        <references count="2">
          <reference field="4294967294" count="1" selected="0">
            <x v="1"/>
          </reference>
          <reference field="29" count="1" selected="0">
            <x v="20"/>
          </reference>
        </references>
      </pivotArea>
    </chartFormat>
    <chartFormat chart="2" format="202" series="1">
      <pivotArea type="data" outline="0" fieldPosition="0">
        <references count="2">
          <reference field="4294967294" count="1" selected="0">
            <x v="0"/>
          </reference>
          <reference field="29" count="1" selected="0">
            <x v="21"/>
          </reference>
        </references>
      </pivotArea>
    </chartFormat>
    <chartFormat chart="2" format="203" series="1">
      <pivotArea type="data" outline="0" fieldPosition="0">
        <references count="2">
          <reference field="4294967294" count="1" selected="0">
            <x v="1"/>
          </reference>
          <reference field="29" count="1" selected="0">
            <x v="21"/>
          </reference>
        </references>
      </pivotArea>
    </chartFormat>
    <chartFormat chart="2" format="204" series="1">
      <pivotArea type="data" outline="0" fieldPosition="0">
        <references count="2">
          <reference field="4294967294" count="1" selected="0">
            <x v="0"/>
          </reference>
          <reference field="29" count="1" selected="0">
            <x v="22"/>
          </reference>
        </references>
      </pivotArea>
    </chartFormat>
    <chartFormat chart="2" format="205" series="1">
      <pivotArea type="data" outline="0" fieldPosition="0">
        <references count="2">
          <reference field="4294967294" count="1" selected="0">
            <x v="1"/>
          </reference>
          <reference field="29" count="1" selected="0">
            <x v="22"/>
          </reference>
        </references>
      </pivotArea>
    </chartFormat>
    <chartFormat chart="2" format="206" series="1">
      <pivotArea type="data" outline="0" fieldPosition="0">
        <references count="2">
          <reference field="4294967294" count="1" selected="0">
            <x v="0"/>
          </reference>
          <reference field="29" count="1" selected="0">
            <x v="23"/>
          </reference>
        </references>
      </pivotArea>
    </chartFormat>
    <chartFormat chart="2" format="207" series="1">
      <pivotArea type="data" outline="0" fieldPosition="0">
        <references count="2">
          <reference field="4294967294" count="1" selected="0">
            <x v="1"/>
          </reference>
          <reference field="29" count="1" selected="0">
            <x v="23"/>
          </reference>
        </references>
      </pivotArea>
    </chartFormat>
    <chartFormat chart="2" format="208" series="1">
      <pivotArea type="data" outline="0" fieldPosition="0">
        <references count="2">
          <reference field="4294967294" count="1" selected="0">
            <x v="0"/>
          </reference>
          <reference field="29" count="1" selected="0">
            <x v="24"/>
          </reference>
        </references>
      </pivotArea>
    </chartFormat>
    <chartFormat chart="2" format="209" series="1">
      <pivotArea type="data" outline="0" fieldPosition="0">
        <references count="2">
          <reference field="4294967294" count="1" selected="0">
            <x v="1"/>
          </reference>
          <reference field="29" count="1" selected="0">
            <x v="24"/>
          </reference>
        </references>
      </pivotArea>
    </chartFormat>
    <chartFormat chart="2" format="210" series="1">
      <pivotArea type="data" outline="0" fieldPosition="0">
        <references count="2">
          <reference field="4294967294" count="1" selected="0">
            <x v="0"/>
          </reference>
          <reference field="29" count="1" selected="0">
            <x v="25"/>
          </reference>
        </references>
      </pivotArea>
    </chartFormat>
    <chartFormat chart="2" format="211" series="1">
      <pivotArea type="data" outline="0" fieldPosition="0">
        <references count="2">
          <reference field="4294967294" count="1" selected="0">
            <x v="1"/>
          </reference>
          <reference field="29" count="1" selected="0">
            <x v="25"/>
          </reference>
        </references>
      </pivotArea>
    </chartFormat>
    <chartFormat chart="2" format="212" series="1">
      <pivotArea type="data" outline="0" fieldPosition="0">
        <references count="2">
          <reference field="4294967294" count="1" selected="0">
            <x v="0"/>
          </reference>
          <reference field="29" count="1" selected="0">
            <x v="26"/>
          </reference>
        </references>
      </pivotArea>
    </chartFormat>
    <chartFormat chart="2" format="213" series="1">
      <pivotArea type="data" outline="0" fieldPosition="0">
        <references count="2">
          <reference field="4294967294" count="1" selected="0">
            <x v="1"/>
          </reference>
          <reference field="29" count="1" selected="0">
            <x v="26"/>
          </reference>
        </references>
      </pivotArea>
    </chartFormat>
    <chartFormat chart="2" format="214" series="1">
      <pivotArea type="data" outline="0" fieldPosition="0">
        <references count="2">
          <reference field="4294967294" count="1" selected="0">
            <x v="0"/>
          </reference>
          <reference field="29" count="1" selected="0">
            <x v="27"/>
          </reference>
        </references>
      </pivotArea>
    </chartFormat>
    <chartFormat chart="2" format="215" series="1">
      <pivotArea type="data" outline="0" fieldPosition="0">
        <references count="2">
          <reference field="4294967294" count="1" selected="0">
            <x v="1"/>
          </reference>
          <reference field="29" count="1" selected="0">
            <x v="27"/>
          </reference>
        </references>
      </pivotArea>
    </chartFormat>
    <chartFormat chart="2" format="216" series="1">
      <pivotArea type="data" outline="0" fieldPosition="0">
        <references count="2">
          <reference field="4294967294" count="1" selected="0">
            <x v="0"/>
          </reference>
          <reference field="29" count="1" selected="0">
            <x v="28"/>
          </reference>
        </references>
      </pivotArea>
    </chartFormat>
    <chartFormat chart="2" format="217" series="1">
      <pivotArea type="data" outline="0" fieldPosition="0">
        <references count="2">
          <reference field="4294967294" count="1" selected="0">
            <x v="1"/>
          </reference>
          <reference field="29" count="1" selected="0">
            <x v="28"/>
          </reference>
        </references>
      </pivotArea>
    </chartFormat>
    <chartFormat chart="2" format="218" series="1">
      <pivotArea type="data" outline="0" fieldPosition="0">
        <references count="2">
          <reference field="4294967294" count="1" selected="0">
            <x v="0"/>
          </reference>
          <reference field="29" count="1" selected="0">
            <x v="29"/>
          </reference>
        </references>
      </pivotArea>
    </chartFormat>
    <chartFormat chart="2" format="219" series="1">
      <pivotArea type="data" outline="0" fieldPosition="0">
        <references count="2">
          <reference field="4294967294" count="1" selected="0">
            <x v="1"/>
          </reference>
          <reference field="29" count="1" selected="0">
            <x v="29"/>
          </reference>
        </references>
      </pivotArea>
    </chartFormat>
    <chartFormat chart="2" format="220" series="1">
      <pivotArea type="data" outline="0" fieldPosition="0">
        <references count="2">
          <reference field="4294967294" count="1" selected="0">
            <x v="0"/>
          </reference>
          <reference field="29" count="1" selected="0">
            <x v="30"/>
          </reference>
        </references>
      </pivotArea>
    </chartFormat>
    <chartFormat chart="2" format="221" series="1">
      <pivotArea type="data" outline="0" fieldPosition="0">
        <references count="2">
          <reference field="4294967294" count="1" selected="0">
            <x v="1"/>
          </reference>
          <reference field="29" count="1" selected="0">
            <x v="30"/>
          </reference>
        </references>
      </pivotArea>
    </chartFormat>
    <chartFormat chart="2" format="222" series="1">
      <pivotArea type="data" outline="0" fieldPosition="0">
        <references count="2">
          <reference field="4294967294" count="1" selected="0">
            <x v="0"/>
          </reference>
          <reference field="29" count="1" selected="0">
            <x v="31"/>
          </reference>
        </references>
      </pivotArea>
    </chartFormat>
    <chartFormat chart="2" format="223" series="1">
      <pivotArea type="data" outline="0" fieldPosition="0">
        <references count="2">
          <reference field="4294967294" count="1" selected="0">
            <x v="1"/>
          </reference>
          <reference field="29" count="1" selected="0">
            <x v="31"/>
          </reference>
        </references>
      </pivotArea>
    </chartFormat>
    <chartFormat chart="2" format="224" series="1">
      <pivotArea type="data" outline="0" fieldPosition="0">
        <references count="2">
          <reference field="4294967294" count="1" selected="0">
            <x v="0"/>
          </reference>
          <reference field="29" count="1" selected="0">
            <x v="32"/>
          </reference>
        </references>
      </pivotArea>
    </chartFormat>
    <chartFormat chart="2" format="225" series="1">
      <pivotArea type="data" outline="0" fieldPosition="0">
        <references count="2">
          <reference field="4294967294" count="1" selected="0">
            <x v="1"/>
          </reference>
          <reference field="29" count="1" selected="0">
            <x v="32"/>
          </reference>
        </references>
      </pivotArea>
    </chartFormat>
    <chartFormat chart="2" format="226" series="1">
      <pivotArea type="data" outline="0" fieldPosition="0">
        <references count="2">
          <reference field="4294967294" count="1" selected="0">
            <x v="0"/>
          </reference>
          <reference field="29" count="1" selected="0">
            <x v="33"/>
          </reference>
        </references>
      </pivotArea>
    </chartFormat>
    <chartFormat chart="2" format="227" series="1">
      <pivotArea type="data" outline="0" fieldPosition="0">
        <references count="2">
          <reference field="4294967294" count="1" selected="0">
            <x v="1"/>
          </reference>
          <reference field="29" count="1" selected="0">
            <x v="33"/>
          </reference>
        </references>
      </pivotArea>
    </chartFormat>
    <chartFormat chart="2" format="228" series="1">
      <pivotArea type="data" outline="0" fieldPosition="0">
        <references count="2">
          <reference field="4294967294" count="1" selected="0">
            <x v="0"/>
          </reference>
          <reference field="29" count="1" selected="0">
            <x v="34"/>
          </reference>
        </references>
      </pivotArea>
    </chartFormat>
    <chartFormat chart="2" format="229" series="1">
      <pivotArea type="data" outline="0" fieldPosition="0">
        <references count="2">
          <reference field="4294967294" count="1" selected="0">
            <x v="1"/>
          </reference>
          <reference field="29" count="1" selected="0">
            <x v="34"/>
          </reference>
        </references>
      </pivotArea>
    </chartFormat>
    <chartFormat chart="2" format="230" series="1">
      <pivotArea type="data" outline="0" fieldPosition="0">
        <references count="2">
          <reference field="4294967294" count="1" selected="0">
            <x v="0"/>
          </reference>
          <reference field="29" count="1" selected="0">
            <x v="35"/>
          </reference>
        </references>
      </pivotArea>
    </chartFormat>
    <chartFormat chart="2" format="231" series="1">
      <pivotArea type="data" outline="0" fieldPosition="0">
        <references count="2">
          <reference field="4294967294" count="1" selected="0">
            <x v="1"/>
          </reference>
          <reference field="29" count="1" selected="0">
            <x v="35"/>
          </reference>
        </references>
      </pivotArea>
    </chartFormat>
    <chartFormat chart="2" format="232" series="1">
      <pivotArea type="data" outline="0" fieldPosition="0">
        <references count="2">
          <reference field="4294967294" count="1" selected="0">
            <x v="0"/>
          </reference>
          <reference field="29" count="1" selected="0">
            <x v="36"/>
          </reference>
        </references>
      </pivotArea>
    </chartFormat>
    <chartFormat chart="2" format="233" series="1">
      <pivotArea type="data" outline="0" fieldPosition="0">
        <references count="2">
          <reference field="4294967294" count="1" selected="0">
            <x v="1"/>
          </reference>
          <reference field="29" count="1" selected="0">
            <x v="36"/>
          </reference>
        </references>
      </pivotArea>
    </chartFormat>
    <chartFormat chart="2" format="234" series="1">
      <pivotArea type="data" outline="0" fieldPosition="0">
        <references count="2">
          <reference field="4294967294" count="1" selected="0">
            <x v="0"/>
          </reference>
          <reference field="29" count="1" selected="0">
            <x v="37"/>
          </reference>
        </references>
      </pivotArea>
    </chartFormat>
    <chartFormat chart="2" format="235" series="1">
      <pivotArea type="data" outline="0" fieldPosition="0">
        <references count="2">
          <reference field="4294967294" count="1" selected="0">
            <x v="1"/>
          </reference>
          <reference field="29" count="1" selected="0">
            <x v="37"/>
          </reference>
        </references>
      </pivotArea>
    </chartFormat>
    <chartFormat chart="2" format="236" series="1">
      <pivotArea type="data" outline="0" fieldPosition="0">
        <references count="2">
          <reference field="4294967294" count="1" selected="0">
            <x v="0"/>
          </reference>
          <reference field="29" count="1" selected="0">
            <x v="38"/>
          </reference>
        </references>
      </pivotArea>
    </chartFormat>
    <chartFormat chart="2" format="237" series="1">
      <pivotArea type="data" outline="0" fieldPosition="0">
        <references count="2">
          <reference field="4294967294" count="1" selected="0">
            <x v="1"/>
          </reference>
          <reference field="29" count="1" selected="0">
            <x v="38"/>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54A98EFF-E6FE-494A-9DBD-02D8165F806B}" name="PivotTable3" cacheId="2024"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chartFormat="3">
  <location ref="B57:F73" firstHeaderRow="1" firstDataRow="3" firstDataCol="1"/>
  <pivotFields count="54">
    <pivotField showAll="0"/>
    <pivotField axis="axisRow" numFmtId="14" showAll="0">
      <items count="14">
        <item x="7"/>
        <item x="8"/>
        <item x="9"/>
        <item x="10"/>
        <item x="11"/>
        <item x="12"/>
        <item x="0"/>
        <item x="1"/>
        <item x="2"/>
        <item x="3"/>
        <item x="4"/>
        <item x="5"/>
        <item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showAll="0">
      <items count="40">
        <item x="12"/>
        <item h="1" x="5"/>
        <item h="1" x="6"/>
        <item h="1" x="19"/>
        <item h="1" x="37"/>
        <item h="1" x="24"/>
        <item h="1" x="35"/>
        <item h="1" x="17"/>
        <item h="1" x="23"/>
        <item h="1" x="2"/>
        <item h="1" x="31"/>
        <item h="1" x="21"/>
        <item h="1" x="15"/>
        <item h="1" x="36"/>
        <item h="1" x="0"/>
        <item h="1" x="13"/>
        <item h="1" x="29"/>
        <item h="1" x="32"/>
        <item h="1" x="33"/>
        <item h="1" x="27"/>
        <item h="1" x="3"/>
        <item h="1" x="38"/>
        <item h="1" x="26"/>
        <item h="1" x="22"/>
        <item h="1" x="20"/>
        <item h="1" x="9"/>
        <item h="1" x="7"/>
        <item h="1" x="11"/>
        <item h="1" x="14"/>
        <item h="1" x="10"/>
        <item h="1" x="30"/>
        <item h="1" x="1"/>
        <item h="1" x="28"/>
        <item h="1" x="34"/>
        <item h="1" x="18"/>
        <item h="1" x="8"/>
        <item h="1" x="4"/>
        <item h="1" x="16"/>
        <item h="1" x="25"/>
        <item t="default"/>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1"/>
  </rowFields>
  <rowItems count="14">
    <i>
      <x/>
    </i>
    <i>
      <x v="1"/>
    </i>
    <i>
      <x v="2"/>
    </i>
    <i>
      <x v="3"/>
    </i>
    <i>
      <x v="4"/>
    </i>
    <i>
      <x v="5"/>
    </i>
    <i>
      <x v="6"/>
    </i>
    <i>
      <x v="7"/>
    </i>
    <i>
      <x v="8"/>
    </i>
    <i>
      <x v="9"/>
    </i>
    <i>
      <x v="10"/>
    </i>
    <i>
      <x v="11"/>
    </i>
    <i>
      <x v="12"/>
    </i>
    <i t="grand">
      <x/>
    </i>
  </rowItems>
  <colFields count="2">
    <field x="29"/>
    <field x="-2"/>
  </colFields>
  <colItems count="4">
    <i>
      <x/>
      <x/>
    </i>
    <i r="1" i="1">
      <x v="1"/>
    </i>
    <i t="grand">
      <x/>
    </i>
    <i t="grand" i="1">
      <x/>
    </i>
  </colItems>
  <dataFields count="2">
    <dataField name="COPD CAT Score %" fld="41" baseField="1" baseItem="0"/>
    <dataField name=" Target 58%" fld="38" baseField="1" baseItem="0"/>
  </dataFields>
  <chartFormats count="78">
    <chartFormat chart="2" format="312" series="1">
      <pivotArea type="data" outline="0" fieldPosition="0">
        <references count="2">
          <reference field="4294967294" count="1" selected="0">
            <x v="0"/>
          </reference>
          <reference field="29" count="1" selected="0">
            <x v="0"/>
          </reference>
        </references>
      </pivotArea>
    </chartFormat>
    <chartFormat chart="2" format="313" series="1">
      <pivotArea type="data" outline="0" fieldPosition="0">
        <references count="2">
          <reference field="4294967294" count="1" selected="0">
            <x v="1"/>
          </reference>
          <reference field="29" count="1" selected="0">
            <x v="0"/>
          </reference>
        </references>
      </pivotArea>
    </chartFormat>
    <chartFormat chart="2" format="314" series="1">
      <pivotArea type="data" outline="0" fieldPosition="0">
        <references count="2">
          <reference field="4294967294" count="1" selected="0">
            <x v="0"/>
          </reference>
          <reference field="29" count="1" selected="0">
            <x v="1"/>
          </reference>
        </references>
      </pivotArea>
    </chartFormat>
    <chartFormat chart="2" format="315" series="1">
      <pivotArea type="data" outline="0" fieldPosition="0">
        <references count="2">
          <reference field="4294967294" count="1" selected="0">
            <x v="1"/>
          </reference>
          <reference field="29" count="1" selected="0">
            <x v="1"/>
          </reference>
        </references>
      </pivotArea>
    </chartFormat>
    <chartFormat chart="2" format="316" series="1">
      <pivotArea type="data" outline="0" fieldPosition="0">
        <references count="2">
          <reference field="4294967294" count="1" selected="0">
            <x v="0"/>
          </reference>
          <reference field="29" count="1" selected="0">
            <x v="2"/>
          </reference>
        </references>
      </pivotArea>
    </chartFormat>
    <chartFormat chart="2" format="317" series="1">
      <pivotArea type="data" outline="0" fieldPosition="0">
        <references count="2">
          <reference field="4294967294" count="1" selected="0">
            <x v="1"/>
          </reference>
          <reference field="29" count="1" selected="0">
            <x v="2"/>
          </reference>
        </references>
      </pivotArea>
    </chartFormat>
    <chartFormat chart="2" format="318" series="1">
      <pivotArea type="data" outline="0" fieldPosition="0">
        <references count="2">
          <reference field="4294967294" count="1" selected="0">
            <x v="0"/>
          </reference>
          <reference field="29" count="1" selected="0">
            <x v="3"/>
          </reference>
        </references>
      </pivotArea>
    </chartFormat>
    <chartFormat chart="2" format="319" series="1">
      <pivotArea type="data" outline="0" fieldPosition="0">
        <references count="2">
          <reference field="4294967294" count="1" selected="0">
            <x v="1"/>
          </reference>
          <reference field="29" count="1" selected="0">
            <x v="3"/>
          </reference>
        </references>
      </pivotArea>
    </chartFormat>
    <chartFormat chart="2" format="320" series="1">
      <pivotArea type="data" outline="0" fieldPosition="0">
        <references count="2">
          <reference field="4294967294" count="1" selected="0">
            <x v="0"/>
          </reference>
          <reference field="29" count="1" selected="0">
            <x v="4"/>
          </reference>
        </references>
      </pivotArea>
    </chartFormat>
    <chartFormat chart="2" format="321" series="1">
      <pivotArea type="data" outline="0" fieldPosition="0">
        <references count="2">
          <reference field="4294967294" count="1" selected="0">
            <x v="1"/>
          </reference>
          <reference field="29" count="1" selected="0">
            <x v="4"/>
          </reference>
        </references>
      </pivotArea>
    </chartFormat>
    <chartFormat chart="2" format="322" series="1">
      <pivotArea type="data" outline="0" fieldPosition="0">
        <references count="2">
          <reference field="4294967294" count="1" selected="0">
            <x v="0"/>
          </reference>
          <reference field="29" count="1" selected="0">
            <x v="5"/>
          </reference>
        </references>
      </pivotArea>
    </chartFormat>
    <chartFormat chart="2" format="323" series="1">
      <pivotArea type="data" outline="0" fieldPosition="0">
        <references count="2">
          <reference field="4294967294" count="1" selected="0">
            <x v="1"/>
          </reference>
          <reference field="29" count="1" selected="0">
            <x v="5"/>
          </reference>
        </references>
      </pivotArea>
    </chartFormat>
    <chartFormat chart="2" format="324" series="1">
      <pivotArea type="data" outline="0" fieldPosition="0">
        <references count="2">
          <reference field="4294967294" count="1" selected="0">
            <x v="0"/>
          </reference>
          <reference field="29" count="1" selected="0">
            <x v="6"/>
          </reference>
        </references>
      </pivotArea>
    </chartFormat>
    <chartFormat chart="2" format="325" series="1">
      <pivotArea type="data" outline="0" fieldPosition="0">
        <references count="2">
          <reference field="4294967294" count="1" selected="0">
            <x v="1"/>
          </reference>
          <reference field="29" count="1" selected="0">
            <x v="6"/>
          </reference>
        </references>
      </pivotArea>
    </chartFormat>
    <chartFormat chart="2" format="326" series="1">
      <pivotArea type="data" outline="0" fieldPosition="0">
        <references count="2">
          <reference field="4294967294" count="1" selected="0">
            <x v="0"/>
          </reference>
          <reference field="29" count="1" selected="0">
            <x v="7"/>
          </reference>
        </references>
      </pivotArea>
    </chartFormat>
    <chartFormat chart="2" format="327" series="1">
      <pivotArea type="data" outline="0" fieldPosition="0">
        <references count="2">
          <reference field="4294967294" count="1" selected="0">
            <x v="1"/>
          </reference>
          <reference field="29" count="1" selected="0">
            <x v="7"/>
          </reference>
        </references>
      </pivotArea>
    </chartFormat>
    <chartFormat chart="2" format="328" series="1">
      <pivotArea type="data" outline="0" fieldPosition="0">
        <references count="2">
          <reference field="4294967294" count="1" selected="0">
            <x v="0"/>
          </reference>
          <reference field="29" count="1" selected="0">
            <x v="8"/>
          </reference>
        </references>
      </pivotArea>
    </chartFormat>
    <chartFormat chart="2" format="329" series="1">
      <pivotArea type="data" outline="0" fieldPosition="0">
        <references count="2">
          <reference field="4294967294" count="1" selected="0">
            <x v="1"/>
          </reference>
          <reference field="29" count="1" selected="0">
            <x v="8"/>
          </reference>
        </references>
      </pivotArea>
    </chartFormat>
    <chartFormat chart="2" format="330" series="1">
      <pivotArea type="data" outline="0" fieldPosition="0">
        <references count="2">
          <reference field="4294967294" count="1" selected="0">
            <x v="0"/>
          </reference>
          <reference field="29" count="1" selected="0">
            <x v="9"/>
          </reference>
        </references>
      </pivotArea>
    </chartFormat>
    <chartFormat chart="2" format="331" series="1">
      <pivotArea type="data" outline="0" fieldPosition="0">
        <references count="2">
          <reference field="4294967294" count="1" selected="0">
            <x v="1"/>
          </reference>
          <reference field="29" count="1" selected="0">
            <x v="9"/>
          </reference>
        </references>
      </pivotArea>
    </chartFormat>
    <chartFormat chart="2" format="332" series="1">
      <pivotArea type="data" outline="0" fieldPosition="0">
        <references count="2">
          <reference field="4294967294" count="1" selected="0">
            <x v="0"/>
          </reference>
          <reference field="29" count="1" selected="0">
            <x v="10"/>
          </reference>
        </references>
      </pivotArea>
    </chartFormat>
    <chartFormat chart="2" format="333" series="1">
      <pivotArea type="data" outline="0" fieldPosition="0">
        <references count="2">
          <reference field="4294967294" count="1" selected="0">
            <x v="1"/>
          </reference>
          <reference field="29" count="1" selected="0">
            <x v="10"/>
          </reference>
        </references>
      </pivotArea>
    </chartFormat>
    <chartFormat chart="2" format="334" series="1">
      <pivotArea type="data" outline="0" fieldPosition="0">
        <references count="2">
          <reference field="4294967294" count="1" selected="0">
            <x v="0"/>
          </reference>
          <reference field="29" count="1" selected="0">
            <x v="11"/>
          </reference>
        </references>
      </pivotArea>
    </chartFormat>
    <chartFormat chart="2" format="335" series="1">
      <pivotArea type="data" outline="0" fieldPosition="0">
        <references count="2">
          <reference field="4294967294" count="1" selected="0">
            <x v="1"/>
          </reference>
          <reference field="29" count="1" selected="0">
            <x v="11"/>
          </reference>
        </references>
      </pivotArea>
    </chartFormat>
    <chartFormat chart="2" format="336" series="1">
      <pivotArea type="data" outline="0" fieldPosition="0">
        <references count="2">
          <reference field="4294967294" count="1" selected="0">
            <x v="0"/>
          </reference>
          <reference field="29" count="1" selected="0">
            <x v="12"/>
          </reference>
        </references>
      </pivotArea>
    </chartFormat>
    <chartFormat chart="2" format="337" series="1">
      <pivotArea type="data" outline="0" fieldPosition="0">
        <references count="2">
          <reference field="4294967294" count="1" selected="0">
            <x v="1"/>
          </reference>
          <reference field="29" count="1" selected="0">
            <x v="12"/>
          </reference>
        </references>
      </pivotArea>
    </chartFormat>
    <chartFormat chart="2" format="338" series="1">
      <pivotArea type="data" outline="0" fieldPosition="0">
        <references count="2">
          <reference field="4294967294" count="1" selected="0">
            <x v="0"/>
          </reference>
          <reference field="29" count="1" selected="0">
            <x v="13"/>
          </reference>
        </references>
      </pivotArea>
    </chartFormat>
    <chartFormat chart="2" format="339" series="1">
      <pivotArea type="data" outline="0" fieldPosition="0">
        <references count="2">
          <reference field="4294967294" count="1" selected="0">
            <x v="1"/>
          </reference>
          <reference field="29" count="1" selected="0">
            <x v="13"/>
          </reference>
        </references>
      </pivotArea>
    </chartFormat>
    <chartFormat chart="2" format="340" series="1">
      <pivotArea type="data" outline="0" fieldPosition="0">
        <references count="2">
          <reference field="4294967294" count="1" selected="0">
            <x v="0"/>
          </reference>
          <reference field="29" count="1" selected="0">
            <x v="14"/>
          </reference>
        </references>
      </pivotArea>
    </chartFormat>
    <chartFormat chart="2" format="341" series="1">
      <pivotArea type="data" outline="0" fieldPosition="0">
        <references count="2">
          <reference field="4294967294" count="1" selected="0">
            <x v="1"/>
          </reference>
          <reference field="29" count="1" selected="0">
            <x v="14"/>
          </reference>
        </references>
      </pivotArea>
    </chartFormat>
    <chartFormat chart="2" format="342" series="1">
      <pivotArea type="data" outline="0" fieldPosition="0">
        <references count="2">
          <reference field="4294967294" count="1" selected="0">
            <x v="0"/>
          </reference>
          <reference field="29" count="1" selected="0">
            <x v="15"/>
          </reference>
        </references>
      </pivotArea>
    </chartFormat>
    <chartFormat chart="2" format="343" series="1">
      <pivotArea type="data" outline="0" fieldPosition="0">
        <references count="2">
          <reference field="4294967294" count="1" selected="0">
            <x v="1"/>
          </reference>
          <reference field="29" count="1" selected="0">
            <x v="15"/>
          </reference>
        </references>
      </pivotArea>
    </chartFormat>
    <chartFormat chart="2" format="344" series="1">
      <pivotArea type="data" outline="0" fieldPosition="0">
        <references count="2">
          <reference field="4294967294" count="1" selected="0">
            <x v="0"/>
          </reference>
          <reference field="29" count="1" selected="0">
            <x v="16"/>
          </reference>
        </references>
      </pivotArea>
    </chartFormat>
    <chartFormat chart="2" format="345" series="1">
      <pivotArea type="data" outline="0" fieldPosition="0">
        <references count="2">
          <reference field="4294967294" count="1" selected="0">
            <x v="1"/>
          </reference>
          <reference field="29" count="1" selected="0">
            <x v="16"/>
          </reference>
        </references>
      </pivotArea>
    </chartFormat>
    <chartFormat chart="2" format="346" series="1">
      <pivotArea type="data" outline="0" fieldPosition="0">
        <references count="2">
          <reference field="4294967294" count="1" selected="0">
            <x v="0"/>
          </reference>
          <reference field="29" count="1" selected="0">
            <x v="17"/>
          </reference>
        </references>
      </pivotArea>
    </chartFormat>
    <chartFormat chart="2" format="347" series="1">
      <pivotArea type="data" outline="0" fieldPosition="0">
        <references count="2">
          <reference field="4294967294" count="1" selected="0">
            <x v="1"/>
          </reference>
          <reference field="29" count="1" selected="0">
            <x v="17"/>
          </reference>
        </references>
      </pivotArea>
    </chartFormat>
    <chartFormat chart="2" format="348" series="1">
      <pivotArea type="data" outline="0" fieldPosition="0">
        <references count="2">
          <reference field="4294967294" count="1" selected="0">
            <x v="0"/>
          </reference>
          <reference field="29" count="1" selected="0">
            <x v="18"/>
          </reference>
        </references>
      </pivotArea>
    </chartFormat>
    <chartFormat chart="2" format="349" series="1">
      <pivotArea type="data" outline="0" fieldPosition="0">
        <references count="2">
          <reference field="4294967294" count="1" selected="0">
            <x v="1"/>
          </reference>
          <reference field="29" count="1" selected="0">
            <x v="18"/>
          </reference>
        </references>
      </pivotArea>
    </chartFormat>
    <chartFormat chart="2" format="350" series="1">
      <pivotArea type="data" outline="0" fieldPosition="0">
        <references count="2">
          <reference field="4294967294" count="1" selected="0">
            <x v="0"/>
          </reference>
          <reference field="29" count="1" selected="0">
            <x v="19"/>
          </reference>
        </references>
      </pivotArea>
    </chartFormat>
    <chartFormat chart="2" format="351" series="1">
      <pivotArea type="data" outline="0" fieldPosition="0">
        <references count="2">
          <reference field="4294967294" count="1" selected="0">
            <x v="1"/>
          </reference>
          <reference field="29" count="1" selected="0">
            <x v="19"/>
          </reference>
        </references>
      </pivotArea>
    </chartFormat>
    <chartFormat chart="2" format="352" series="1">
      <pivotArea type="data" outline="0" fieldPosition="0">
        <references count="2">
          <reference field="4294967294" count="1" selected="0">
            <x v="0"/>
          </reference>
          <reference field="29" count="1" selected="0">
            <x v="20"/>
          </reference>
        </references>
      </pivotArea>
    </chartFormat>
    <chartFormat chart="2" format="353" series="1">
      <pivotArea type="data" outline="0" fieldPosition="0">
        <references count="2">
          <reference field="4294967294" count="1" selected="0">
            <x v="1"/>
          </reference>
          <reference field="29" count="1" selected="0">
            <x v="20"/>
          </reference>
        </references>
      </pivotArea>
    </chartFormat>
    <chartFormat chart="2" format="354" series="1">
      <pivotArea type="data" outline="0" fieldPosition="0">
        <references count="2">
          <reference field="4294967294" count="1" selected="0">
            <x v="0"/>
          </reference>
          <reference field="29" count="1" selected="0">
            <x v="21"/>
          </reference>
        </references>
      </pivotArea>
    </chartFormat>
    <chartFormat chart="2" format="355" series="1">
      <pivotArea type="data" outline="0" fieldPosition="0">
        <references count="2">
          <reference field="4294967294" count="1" selected="0">
            <x v="1"/>
          </reference>
          <reference field="29" count="1" selected="0">
            <x v="21"/>
          </reference>
        </references>
      </pivotArea>
    </chartFormat>
    <chartFormat chart="2" format="356" series="1">
      <pivotArea type="data" outline="0" fieldPosition="0">
        <references count="2">
          <reference field="4294967294" count="1" selected="0">
            <x v="0"/>
          </reference>
          <reference field="29" count="1" selected="0">
            <x v="22"/>
          </reference>
        </references>
      </pivotArea>
    </chartFormat>
    <chartFormat chart="2" format="357" series="1">
      <pivotArea type="data" outline="0" fieldPosition="0">
        <references count="2">
          <reference field="4294967294" count="1" selected="0">
            <x v="1"/>
          </reference>
          <reference field="29" count="1" selected="0">
            <x v="22"/>
          </reference>
        </references>
      </pivotArea>
    </chartFormat>
    <chartFormat chart="2" format="358" series="1">
      <pivotArea type="data" outline="0" fieldPosition="0">
        <references count="2">
          <reference field="4294967294" count="1" selected="0">
            <x v="0"/>
          </reference>
          <reference field="29" count="1" selected="0">
            <x v="23"/>
          </reference>
        </references>
      </pivotArea>
    </chartFormat>
    <chartFormat chart="2" format="359" series="1">
      <pivotArea type="data" outline="0" fieldPosition="0">
        <references count="2">
          <reference field="4294967294" count="1" selected="0">
            <x v="1"/>
          </reference>
          <reference field="29" count="1" selected="0">
            <x v="23"/>
          </reference>
        </references>
      </pivotArea>
    </chartFormat>
    <chartFormat chart="2" format="360" series="1">
      <pivotArea type="data" outline="0" fieldPosition="0">
        <references count="2">
          <reference field="4294967294" count="1" selected="0">
            <x v="0"/>
          </reference>
          <reference field="29" count="1" selected="0">
            <x v="24"/>
          </reference>
        </references>
      </pivotArea>
    </chartFormat>
    <chartFormat chart="2" format="361" series="1">
      <pivotArea type="data" outline="0" fieldPosition="0">
        <references count="2">
          <reference field="4294967294" count="1" selected="0">
            <x v="1"/>
          </reference>
          <reference field="29" count="1" selected="0">
            <x v="24"/>
          </reference>
        </references>
      </pivotArea>
    </chartFormat>
    <chartFormat chart="2" format="362" series="1">
      <pivotArea type="data" outline="0" fieldPosition="0">
        <references count="2">
          <reference field="4294967294" count="1" selected="0">
            <x v="0"/>
          </reference>
          <reference field="29" count="1" selected="0">
            <x v="25"/>
          </reference>
        </references>
      </pivotArea>
    </chartFormat>
    <chartFormat chart="2" format="363" series="1">
      <pivotArea type="data" outline="0" fieldPosition="0">
        <references count="2">
          <reference field="4294967294" count="1" selected="0">
            <x v="1"/>
          </reference>
          <reference field="29" count="1" selected="0">
            <x v="25"/>
          </reference>
        </references>
      </pivotArea>
    </chartFormat>
    <chartFormat chart="2" format="364" series="1">
      <pivotArea type="data" outline="0" fieldPosition="0">
        <references count="2">
          <reference field="4294967294" count="1" selected="0">
            <x v="0"/>
          </reference>
          <reference field="29" count="1" selected="0">
            <x v="26"/>
          </reference>
        </references>
      </pivotArea>
    </chartFormat>
    <chartFormat chart="2" format="365" series="1">
      <pivotArea type="data" outline="0" fieldPosition="0">
        <references count="2">
          <reference field="4294967294" count="1" selected="0">
            <x v="1"/>
          </reference>
          <reference field="29" count="1" selected="0">
            <x v="26"/>
          </reference>
        </references>
      </pivotArea>
    </chartFormat>
    <chartFormat chart="2" format="366" series="1">
      <pivotArea type="data" outline="0" fieldPosition="0">
        <references count="2">
          <reference field="4294967294" count="1" selected="0">
            <x v="0"/>
          </reference>
          <reference field="29" count="1" selected="0">
            <x v="27"/>
          </reference>
        </references>
      </pivotArea>
    </chartFormat>
    <chartFormat chart="2" format="367" series="1">
      <pivotArea type="data" outline="0" fieldPosition="0">
        <references count="2">
          <reference field="4294967294" count="1" selected="0">
            <x v="1"/>
          </reference>
          <reference field="29" count="1" selected="0">
            <x v="27"/>
          </reference>
        </references>
      </pivotArea>
    </chartFormat>
    <chartFormat chart="2" format="368" series="1">
      <pivotArea type="data" outline="0" fieldPosition="0">
        <references count="2">
          <reference field="4294967294" count="1" selected="0">
            <x v="0"/>
          </reference>
          <reference field="29" count="1" selected="0">
            <x v="28"/>
          </reference>
        </references>
      </pivotArea>
    </chartFormat>
    <chartFormat chart="2" format="369" series="1">
      <pivotArea type="data" outline="0" fieldPosition="0">
        <references count="2">
          <reference field="4294967294" count="1" selected="0">
            <x v="1"/>
          </reference>
          <reference field="29" count="1" selected="0">
            <x v="28"/>
          </reference>
        </references>
      </pivotArea>
    </chartFormat>
    <chartFormat chart="2" format="370" series="1">
      <pivotArea type="data" outline="0" fieldPosition="0">
        <references count="2">
          <reference field="4294967294" count="1" selected="0">
            <x v="0"/>
          </reference>
          <reference field="29" count="1" selected="0">
            <x v="29"/>
          </reference>
        </references>
      </pivotArea>
    </chartFormat>
    <chartFormat chart="2" format="371" series="1">
      <pivotArea type="data" outline="0" fieldPosition="0">
        <references count="2">
          <reference field="4294967294" count="1" selected="0">
            <x v="1"/>
          </reference>
          <reference field="29" count="1" selected="0">
            <x v="29"/>
          </reference>
        </references>
      </pivotArea>
    </chartFormat>
    <chartFormat chart="2" format="372" series="1">
      <pivotArea type="data" outline="0" fieldPosition="0">
        <references count="2">
          <reference field="4294967294" count="1" selected="0">
            <x v="0"/>
          </reference>
          <reference field="29" count="1" selected="0">
            <x v="30"/>
          </reference>
        </references>
      </pivotArea>
    </chartFormat>
    <chartFormat chart="2" format="373" series="1">
      <pivotArea type="data" outline="0" fieldPosition="0">
        <references count="2">
          <reference field="4294967294" count="1" selected="0">
            <x v="1"/>
          </reference>
          <reference field="29" count="1" selected="0">
            <x v="30"/>
          </reference>
        </references>
      </pivotArea>
    </chartFormat>
    <chartFormat chart="2" format="374" series="1">
      <pivotArea type="data" outline="0" fieldPosition="0">
        <references count="2">
          <reference field="4294967294" count="1" selected="0">
            <x v="0"/>
          </reference>
          <reference field="29" count="1" selected="0">
            <x v="31"/>
          </reference>
        </references>
      </pivotArea>
    </chartFormat>
    <chartFormat chart="2" format="375" series="1">
      <pivotArea type="data" outline="0" fieldPosition="0">
        <references count="2">
          <reference field="4294967294" count="1" selected="0">
            <x v="1"/>
          </reference>
          <reference field="29" count="1" selected="0">
            <x v="31"/>
          </reference>
        </references>
      </pivotArea>
    </chartFormat>
    <chartFormat chart="2" format="376" series="1">
      <pivotArea type="data" outline="0" fieldPosition="0">
        <references count="2">
          <reference field="4294967294" count="1" selected="0">
            <x v="0"/>
          </reference>
          <reference field="29" count="1" selected="0">
            <x v="32"/>
          </reference>
        </references>
      </pivotArea>
    </chartFormat>
    <chartFormat chart="2" format="377" series="1">
      <pivotArea type="data" outline="0" fieldPosition="0">
        <references count="2">
          <reference field="4294967294" count="1" selected="0">
            <x v="1"/>
          </reference>
          <reference field="29" count="1" selected="0">
            <x v="32"/>
          </reference>
        </references>
      </pivotArea>
    </chartFormat>
    <chartFormat chart="2" format="378" series="1">
      <pivotArea type="data" outline="0" fieldPosition="0">
        <references count="2">
          <reference field="4294967294" count="1" selected="0">
            <x v="0"/>
          </reference>
          <reference field="29" count="1" selected="0">
            <x v="33"/>
          </reference>
        </references>
      </pivotArea>
    </chartFormat>
    <chartFormat chart="2" format="379" series="1">
      <pivotArea type="data" outline="0" fieldPosition="0">
        <references count="2">
          <reference field="4294967294" count="1" selected="0">
            <x v="1"/>
          </reference>
          <reference field="29" count="1" selected="0">
            <x v="33"/>
          </reference>
        </references>
      </pivotArea>
    </chartFormat>
    <chartFormat chart="2" format="380" series="1">
      <pivotArea type="data" outline="0" fieldPosition="0">
        <references count="2">
          <reference field="4294967294" count="1" selected="0">
            <x v="0"/>
          </reference>
          <reference field="29" count="1" selected="0">
            <x v="34"/>
          </reference>
        </references>
      </pivotArea>
    </chartFormat>
    <chartFormat chart="2" format="381" series="1">
      <pivotArea type="data" outline="0" fieldPosition="0">
        <references count="2">
          <reference field="4294967294" count="1" selected="0">
            <x v="1"/>
          </reference>
          <reference field="29" count="1" selected="0">
            <x v="34"/>
          </reference>
        </references>
      </pivotArea>
    </chartFormat>
    <chartFormat chart="2" format="382" series="1">
      <pivotArea type="data" outline="0" fieldPosition="0">
        <references count="2">
          <reference field="4294967294" count="1" selected="0">
            <x v="0"/>
          </reference>
          <reference field="29" count="1" selected="0">
            <x v="35"/>
          </reference>
        </references>
      </pivotArea>
    </chartFormat>
    <chartFormat chart="2" format="383" series="1">
      <pivotArea type="data" outline="0" fieldPosition="0">
        <references count="2">
          <reference field="4294967294" count="1" selected="0">
            <x v="1"/>
          </reference>
          <reference field="29" count="1" selected="0">
            <x v="35"/>
          </reference>
        </references>
      </pivotArea>
    </chartFormat>
    <chartFormat chart="2" format="384" series="1">
      <pivotArea type="data" outline="0" fieldPosition="0">
        <references count="2">
          <reference field="4294967294" count="1" selected="0">
            <x v="0"/>
          </reference>
          <reference field="29" count="1" selected="0">
            <x v="36"/>
          </reference>
        </references>
      </pivotArea>
    </chartFormat>
    <chartFormat chart="2" format="385" series="1">
      <pivotArea type="data" outline="0" fieldPosition="0">
        <references count="2">
          <reference field="4294967294" count="1" selected="0">
            <x v="1"/>
          </reference>
          <reference field="29" count="1" selected="0">
            <x v="36"/>
          </reference>
        </references>
      </pivotArea>
    </chartFormat>
    <chartFormat chart="2" format="386" series="1">
      <pivotArea type="data" outline="0" fieldPosition="0">
        <references count="2">
          <reference field="4294967294" count="1" selected="0">
            <x v="0"/>
          </reference>
          <reference field="29" count="1" selected="0">
            <x v="37"/>
          </reference>
        </references>
      </pivotArea>
    </chartFormat>
    <chartFormat chart="2" format="387" series="1">
      <pivotArea type="data" outline="0" fieldPosition="0">
        <references count="2">
          <reference field="4294967294" count="1" selected="0">
            <x v="1"/>
          </reference>
          <reference field="29" count="1" selected="0">
            <x v="37"/>
          </reference>
        </references>
      </pivotArea>
    </chartFormat>
    <chartFormat chart="2" format="388" series="1">
      <pivotArea type="data" outline="0" fieldPosition="0">
        <references count="2">
          <reference field="4294967294" count="1" selected="0">
            <x v="0"/>
          </reference>
          <reference field="29" count="1" selected="0">
            <x v="38"/>
          </reference>
        </references>
      </pivotArea>
    </chartFormat>
    <chartFormat chart="2" format="389" series="1">
      <pivotArea type="data" outline="0" fieldPosition="0">
        <references count="2">
          <reference field="4294967294" count="1" selected="0">
            <x v="1"/>
          </reference>
          <reference field="29" count="1" selected="0">
            <x v="38"/>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DD72DF0E-5F46-4985-9A38-2A28DF02FD0B}" name="PivotTable2" cacheId="2024"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chartFormat="3">
  <location ref="B33:F49" firstHeaderRow="1" firstDataRow="3" firstDataCol="1"/>
  <pivotFields count="54">
    <pivotField showAll="0"/>
    <pivotField axis="axisRow" numFmtId="14" showAll="0">
      <items count="14">
        <item x="7"/>
        <item x="8"/>
        <item x="9"/>
        <item x="10"/>
        <item x="11"/>
        <item x="12"/>
        <item x="0"/>
        <item x="1"/>
        <item x="2"/>
        <item x="3"/>
        <item x="4"/>
        <item x="5"/>
        <item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showAll="0">
      <items count="40">
        <item x="12"/>
        <item h="1" x="5"/>
        <item h="1" x="6"/>
        <item h="1" x="19"/>
        <item h="1" x="37"/>
        <item h="1" x="24"/>
        <item h="1" x="35"/>
        <item h="1" x="17"/>
        <item h="1" x="23"/>
        <item h="1" x="2"/>
        <item h="1" x="31"/>
        <item h="1" x="21"/>
        <item h="1" x="15"/>
        <item h="1" x="36"/>
        <item h="1" x="0"/>
        <item h="1" x="13"/>
        <item h="1" x="29"/>
        <item h="1" x="32"/>
        <item h="1" x="33"/>
        <item h="1" x="27"/>
        <item h="1" x="3"/>
        <item h="1" x="38"/>
        <item h="1" x="26"/>
        <item h="1" x="22"/>
        <item h="1" x="20"/>
        <item h="1" x="9"/>
        <item h="1" x="7"/>
        <item h="1" x="11"/>
        <item h="1" x="14"/>
        <item h="1" x="10"/>
        <item h="1" x="30"/>
        <item h="1" x="1"/>
        <item h="1" x="28"/>
        <item h="1" x="34"/>
        <item h="1" x="18"/>
        <item h="1" x="8"/>
        <item h="1" x="4"/>
        <item h="1" x="16"/>
        <item h="1" x="25"/>
        <item t="default"/>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1"/>
  </rowFields>
  <rowItems count="14">
    <i>
      <x/>
    </i>
    <i>
      <x v="1"/>
    </i>
    <i>
      <x v="2"/>
    </i>
    <i>
      <x v="3"/>
    </i>
    <i>
      <x v="4"/>
    </i>
    <i>
      <x v="5"/>
    </i>
    <i>
      <x v="6"/>
    </i>
    <i>
      <x v="7"/>
    </i>
    <i>
      <x v="8"/>
    </i>
    <i>
      <x v="9"/>
    </i>
    <i>
      <x v="10"/>
    </i>
    <i>
      <x v="11"/>
    </i>
    <i>
      <x v="12"/>
    </i>
    <i t="grand">
      <x/>
    </i>
  </rowItems>
  <colFields count="2">
    <field x="29"/>
    <field x="-2"/>
  </colFields>
  <colItems count="4">
    <i>
      <x/>
      <x/>
    </i>
    <i r="1" i="1">
      <x v="1"/>
    </i>
    <i t="grand">
      <x/>
    </i>
    <i t="grand" i="1">
      <x/>
    </i>
  </colItems>
  <dataFields count="2">
    <dataField name="COPD Action plan %" fld="39" baseField="1" baseItem="0"/>
    <dataField name=" Target 55%" fld="40" baseField="1" baseItem="0"/>
  </dataFields>
  <chartFormats count="78">
    <chartFormat chart="2" format="312" series="1">
      <pivotArea type="data" outline="0" fieldPosition="0">
        <references count="2">
          <reference field="4294967294" count="1" selected="0">
            <x v="0"/>
          </reference>
          <reference field="29" count="1" selected="0">
            <x v="0"/>
          </reference>
        </references>
      </pivotArea>
    </chartFormat>
    <chartFormat chart="2" format="313" series="1">
      <pivotArea type="data" outline="0" fieldPosition="0">
        <references count="2">
          <reference field="4294967294" count="1" selected="0">
            <x v="1"/>
          </reference>
          <reference field="29" count="1" selected="0">
            <x v="0"/>
          </reference>
        </references>
      </pivotArea>
    </chartFormat>
    <chartFormat chart="2" format="314" series="1">
      <pivotArea type="data" outline="0" fieldPosition="0">
        <references count="2">
          <reference field="4294967294" count="1" selected="0">
            <x v="0"/>
          </reference>
          <reference field="29" count="1" selected="0">
            <x v="1"/>
          </reference>
        </references>
      </pivotArea>
    </chartFormat>
    <chartFormat chart="2" format="315" series="1">
      <pivotArea type="data" outline="0" fieldPosition="0">
        <references count="2">
          <reference field="4294967294" count="1" selected="0">
            <x v="1"/>
          </reference>
          <reference field="29" count="1" selected="0">
            <x v="1"/>
          </reference>
        </references>
      </pivotArea>
    </chartFormat>
    <chartFormat chart="2" format="316" series="1">
      <pivotArea type="data" outline="0" fieldPosition="0">
        <references count="2">
          <reference field="4294967294" count="1" selected="0">
            <x v="0"/>
          </reference>
          <reference field="29" count="1" selected="0">
            <x v="2"/>
          </reference>
        </references>
      </pivotArea>
    </chartFormat>
    <chartFormat chart="2" format="317" series="1">
      <pivotArea type="data" outline="0" fieldPosition="0">
        <references count="2">
          <reference field="4294967294" count="1" selected="0">
            <x v="1"/>
          </reference>
          <reference field="29" count="1" selected="0">
            <x v="2"/>
          </reference>
        </references>
      </pivotArea>
    </chartFormat>
    <chartFormat chart="2" format="318" series="1">
      <pivotArea type="data" outline="0" fieldPosition="0">
        <references count="2">
          <reference field="4294967294" count="1" selected="0">
            <x v="0"/>
          </reference>
          <reference field="29" count="1" selected="0">
            <x v="3"/>
          </reference>
        </references>
      </pivotArea>
    </chartFormat>
    <chartFormat chart="2" format="319" series="1">
      <pivotArea type="data" outline="0" fieldPosition="0">
        <references count="2">
          <reference field="4294967294" count="1" selected="0">
            <x v="1"/>
          </reference>
          <reference field="29" count="1" selected="0">
            <x v="3"/>
          </reference>
        </references>
      </pivotArea>
    </chartFormat>
    <chartFormat chart="2" format="320" series="1">
      <pivotArea type="data" outline="0" fieldPosition="0">
        <references count="2">
          <reference field="4294967294" count="1" selected="0">
            <x v="0"/>
          </reference>
          <reference field="29" count="1" selected="0">
            <x v="4"/>
          </reference>
        </references>
      </pivotArea>
    </chartFormat>
    <chartFormat chart="2" format="321" series="1">
      <pivotArea type="data" outline="0" fieldPosition="0">
        <references count="2">
          <reference field="4294967294" count="1" selected="0">
            <x v="1"/>
          </reference>
          <reference field="29" count="1" selected="0">
            <x v="4"/>
          </reference>
        </references>
      </pivotArea>
    </chartFormat>
    <chartFormat chart="2" format="322" series="1">
      <pivotArea type="data" outline="0" fieldPosition="0">
        <references count="2">
          <reference field="4294967294" count="1" selected="0">
            <x v="0"/>
          </reference>
          <reference field="29" count="1" selected="0">
            <x v="5"/>
          </reference>
        </references>
      </pivotArea>
    </chartFormat>
    <chartFormat chart="2" format="323" series="1">
      <pivotArea type="data" outline="0" fieldPosition="0">
        <references count="2">
          <reference field="4294967294" count="1" selected="0">
            <x v="1"/>
          </reference>
          <reference field="29" count="1" selected="0">
            <x v="5"/>
          </reference>
        </references>
      </pivotArea>
    </chartFormat>
    <chartFormat chart="2" format="324" series="1">
      <pivotArea type="data" outline="0" fieldPosition="0">
        <references count="2">
          <reference field="4294967294" count="1" selected="0">
            <x v="0"/>
          </reference>
          <reference field="29" count="1" selected="0">
            <x v="6"/>
          </reference>
        </references>
      </pivotArea>
    </chartFormat>
    <chartFormat chart="2" format="325" series="1">
      <pivotArea type="data" outline="0" fieldPosition="0">
        <references count="2">
          <reference field="4294967294" count="1" selected="0">
            <x v="1"/>
          </reference>
          <reference field="29" count="1" selected="0">
            <x v="6"/>
          </reference>
        </references>
      </pivotArea>
    </chartFormat>
    <chartFormat chart="2" format="326" series="1">
      <pivotArea type="data" outline="0" fieldPosition="0">
        <references count="2">
          <reference field="4294967294" count="1" selected="0">
            <x v="0"/>
          </reference>
          <reference field="29" count="1" selected="0">
            <x v="7"/>
          </reference>
        </references>
      </pivotArea>
    </chartFormat>
    <chartFormat chart="2" format="327" series="1">
      <pivotArea type="data" outline="0" fieldPosition="0">
        <references count="2">
          <reference field="4294967294" count="1" selected="0">
            <x v="1"/>
          </reference>
          <reference field="29" count="1" selected="0">
            <x v="7"/>
          </reference>
        </references>
      </pivotArea>
    </chartFormat>
    <chartFormat chart="2" format="328" series="1">
      <pivotArea type="data" outline="0" fieldPosition="0">
        <references count="2">
          <reference field="4294967294" count="1" selected="0">
            <x v="0"/>
          </reference>
          <reference field="29" count="1" selected="0">
            <x v="8"/>
          </reference>
        </references>
      </pivotArea>
    </chartFormat>
    <chartFormat chart="2" format="329" series="1">
      <pivotArea type="data" outline="0" fieldPosition="0">
        <references count="2">
          <reference field="4294967294" count="1" selected="0">
            <x v="1"/>
          </reference>
          <reference field="29" count="1" selected="0">
            <x v="8"/>
          </reference>
        </references>
      </pivotArea>
    </chartFormat>
    <chartFormat chart="2" format="330" series="1">
      <pivotArea type="data" outline="0" fieldPosition="0">
        <references count="2">
          <reference field="4294967294" count="1" selected="0">
            <x v="0"/>
          </reference>
          <reference field="29" count="1" selected="0">
            <x v="9"/>
          </reference>
        </references>
      </pivotArea>
    </chartFormat>
    <chartFormat chart="2" format="331" series="1">
      <pivotArea type="data" outline="0" fieldPosition="0">
        <references count="2">
          <reference field="4294967294" count="1" selected="0">
            <x v="1"/>
          </reference>
          <reference field="29" count="1" selected="0">
            <x v="9"/>
          </reference>
        </references>
      </pivotArea>
    </chartFormat>
    <chartFormat chart="2" format="332" series="1">
      <pivotArea type="data" outline="0" fieldPosition="0">
        <references count="2">
          <reference field="4294967294" count="1" selected="0">
            <x v="0"/>
          </reference>
          <reference field="29" count="1" selected="0">
            <x v="10"/>
          </reference>
        </references>
      </pivotArea>
    </chartFormat>
    <chartFormat chart="2" format="333" series="1">
      <pivotArea type="data" outline="0" fieldPosition="0">
        <references count="2">
          <reference field="4294967294" count="1" selected="0">
            <x v="1"/>
          </reference>
          <reference field="29" count="1" selected="0">
            <x v="10"/>
          </reference>
        </references>
      </pivotArea>
    </chartFormat>
    <chartFormat chart="2" format="334" series="1">
      <pivotArea type="data" outline="0" fieldPosition="0">
        <references count="2">
          <reference field="4294967294" count="1" selected="0">
            <x v="0"/>
          </reference>
          <reference field="29" count="1" selected="0">
            <x v="11"/>
          </reference>
        </references>
      </pivotArea>
    </chartFormat>
    <chartFormat chart="2" format="335" series="1">
      <pivotArea type="data" outline="0" fieldPosition="0">
        <references count="2">
          <reference field="4294967294" count="1" selected="0">
            <x v="1"/>
          </reference>
          <reference field="29" count="1" selected="0">
            <x v="11"/>
          </reference>
        </references>
      </pivotArea>
    </chartFormat>
    <chartFormat chart="2" format="336" series="1">
      <pivotArea type="data" outline="0" fieldPosition="0">
        <references count="2">
          <reference field="4294967294" count="1" selected="0">
            <x v="0"/>
          </reference>
          <reference field="29" count="1" selected="0">
            <x v="12"/>
          </reference>
        </references>
      </pivotArea>
    </chartFormat>
    <chartFormat chart="2" format="337" series="1">
      <pivotArea type="data" outline="0" fieldPosition="0">
        <references count="2">
          <reference field="4294967294" count="1" selected="0">
            <x v="1"/>
          </reference>
          <reference field="29" count="1" selected="0">
            <x v="12"/>
          </reference>
        </references>
      </pivotArea>
    </chartFormat>
    <chartFormat chart="2" format="338" series="1">
      <pivotArea type="data" outline="0" fieldPosition="0">
        <references count="2">
          <reference field="4294967294" count="1" selected="0">
            <x v="0"/>
          </reference>
          <reference field="29" count="1" selected="0">
            <x v="13"/>
          </reference>
        </references>
      </pivotArea>
    </chartFormat>
    <chartFormat chart="2" format="339" series="1">
      <pivotArea type="data" outline="0" fieldPosition="0">
        <references count="2">
          <reference field="4294967294" count="1" selected="0">
            <x v="1"/>
          </reference>
          <reference field="29" count="1" selected="0">
            <x v="13"/>
          </reference>
        </references>
      </pivotArea>
    </chartFormat>
    <chartFormat chart="2" format="340" series="1">
      <pivotArea type="data" outline="0" fieldPosition="0">
        <references count="2">
          <reference field="4294967294" count="1" selected="0">
            <x v="0"/>
          </reference>
          <reference field="29" count="1" selected="0">
            <x v="14"/>
          </reference>
        </references>
      </pivotArea>
    </chartFormat>
    <chartFormat chart="2" format="341" series="1">
      <pivotArea type="data" outline="0" fieldPosition="0">
        <references count="2">
          <reference field="4294967294" count="1" selected="0">
            <x v="1"/>
          </reference>
          <reference field="29" count="1" selected="0">
            <x v="14"/>
          </reference>
        </references>
      </pivotArea>
    </chartFormat>
    <chartFormat chart="2" format="342" series="1">
      <pivotArea type="data" outline="0" fieldPosition="0">
        <references count="2">
          <reference field="4294967294" count="1" selected="0">
            <x v="0"/>
          </reference>
          <reference field="29" count="1" selected="0">
            <x v="15"/>
          </reference>
        </references>
      </pivotArea>
    </chartFormat>
    <chartFormat chart="2" format="343" series="1">
      <pivotArea type="data" outline="0" fieldPosition="0">
        <references count="2">
          <reference field="4294967294" count="1" selected="0">
            <x v="1"/>
          </reference>
          <reference field="29" count="1" selected="0">
            <x v="15"/>
          </reference>
        </references>
      </pivotArea>
    </chartFormat>
    <chartFormat chart="2" format="344" series="1">
      <pivotArea type="data" outline="0" fieldPosition="0">
        <references count="2">
          <reference field="4294967294" count="1" selected="0">
            <x v="0"/>
          </reference>
          <reference field="29" count="1" selected="0">
            <x v="16"/>
          </reference>
        </references>
      </pivotArea>
    </chartFormat>
    <chartFormat chart="2" format="345" series="1">
      <pivotArea type="data" outline="0" fieldPosition="0">
        <references count="2">
          <reference field="4294967294" count="1" selected="0">
            <x v="1"/>
          </reference>
          <reference field="29" count="1" selected="0">
            <x v="16"/>
          </reference>
        </references>
      </pivotArea>
    </chartFormat>
    <chartFormat chart="2" format="346" series="1">
      <pivotArea type="data" outline="0" fieldPosition="0">
        <references count="2">
          <reference field="4294967294" count="1" selected="0">
            <x v="0"/>
          </reference>
          <reference field="29" count="1" selected="0">
            <x v="17"/>
          </reference>
        </references>
      </pivotArea>
    </chartFormat>
    <chartFormat chart="2" format="347" series="1">
      <pivotArea type="data" outline="0" fieldPosition="0">
        <references count="2">
          <reference field="4294967294" count="1" selected="0">
            <x v="1"/>
          </reference>
          <reference field="29" count="1" selected="0">
            <x v="17"/>
          </reference>
        </references>
      </pivotArea>
    </chartFormat>
    <chartFormat chart="2" format="348" series="1">
      <pivotArea type="data" outline="0" fieldPosition="0">
        <references count="2">
          <reference field="4294967294" count="1" selected="0">
            <x v="0"/>
          </reference>
          <reference field="29" count="1" selected="0">
            <x v="18"/>
          </reference>
        </references>
      </pivotArea>
    </chartFormat>
    <chartFormat chart="2" format="349" series="1">
      <pivotArea type="data" outline="0" fieldPosition="0">
        <references count="2">
          <reference field="4294967294" count="1" selected="0">
            <x v="1"/>
          </reference>
          <reference field="29" count="1" selected="0">
            <x v="18"/>
          </reference>
        </references>
      </pivotArea>
    </chartFormat>
    <chartFormat chart="2" format="350" series="1">
      <pivotArea type="data" outline="0" fieldPosition="0">
        <references count="2">
          <reference field="4294967294" count="1" selected="0">
            <x v="0"/>
          </reference>
          <reference field="29" count="1" selected="0">
            <x v="19"/>
          </reference>
        </references>
      </pivotArea>
    </chartFormat>
    <chartFormat chart="2" format="351" series="1">
      <pivotArea type="data" outline="0" fieldPosition="0">
        <references count="2">
          <reference field="4294967294" count="1" selected="0">
            <x v="1"/>
          </reference>
          <reference field="29" count="1" selected="0">
            <x v="19"/>
          </reference>
        </references>
      </pivotArea>
    </chartFormat>
    <chartFormat chart="2" format="352" series="1">
      <pivotArea type="data" outline="0" fieldPosition="0">
        <references count="2">
          <reference field="4294967294" count="1" selected="0">
            <x v="0"/>
          </reference>
          <reference field="29" count="1" selected="0">
            <x v="20"/>
          </reference>
        </references>
      </pivotArea>
    </chartFormat>
    <chartFormat chart="2" format="353" series="1">
      <pivotArea type="data" outline="0" fieldPosition="0">
        <references count="2">
          <reference field="4294967294" count="1" selected="0">
            <x v="1"/>
          </reference>
          <reference field="29" count="1" selected="0">
            <x v="20"/>
          </reference>
        </references>
      </pivotArea>
    </chartFormat>
    <chartFormat chart="2" format="354" series="1">
      <pivotArea type="data" outline="0" fieldPosition="0">
        <references count="2">
          <reference field="4294967294" count="1" selected="0">
            <x v="0"/>
          </reference>
          <reference field="29" count="1" selected="0">
            <x v="21"/>
          </reference>
        </references>
      </pivotArea>
    </chartFormat>
    <chartFormat chart="2" format="355" series="1">
      <pivotArea type="data" outline="0" fieldPosition="0">
        <references count="2">
          <reference field="4294967294" count="1" selected="0">
            <x v="1"/>
          </reference>
          <reference field="29" count="1" selected="0">
            <x v="21"/>
          </reference>
        </references>
      </pivotArea>
    </chartFormat>
    <chartFormat chart="2" format="356" series="1">
      <pivotArea type="data" outline="0" fieldPosition="0">
        <references count="2">
          <reference field="4294967294" count="1" selected="0">
            <x v="0"/>
          </reference>
          <reference field="29" count="1" selected="0">
            <x v="22"/>
          </reference>
        </references>
      </pivotArea>
    </chartFormat>
    <chartFormat chart="2" format="357" series="1">
      <pivotArea type="data" outline="0" fieldPosition="0">
        <references count="2">
          <reference field="4294967294" count="1" selected="0">
            <x v="1"/>
          </reference>
          <reference field="29" count="1" selected="0">
            <x v="22"/>
          </reference>
        </references>
      </pivotArea>
    </chartFormat>
    <chartFormat chart="2" format="358" series="1">
      <pivotArea type="data" outline="0" fieldPosition="0">
        <references count="2">
          <reference field="4294967294" count="1" selected="0">
            <x v="0"/>
          </reference>
          <reference field="29" count="1" selected="0">
            <x v="23"/>
          </reference>
        </references>
      </pivotArea>
    </chartFormat>
    <chartFormat chart="2" format="359" series="1">
      <pivotArea type="data" outline="0" fieldPosition="0">
        <references count="2">
          <reference field="4294967294" count="1" selected="0">
            <x v="1"/>
          </reference>
          <reference field="29" count="1" selected="0">
            <x v="23"/>
          </reference>
        </references>
      </pivotArea>
    </chartFormat>
    <chartFormat chart="2" format="360" series="1">
      <pivotArea type="data" outline="0" fieldPosition="0">
        <references count="2">
          <reference field="4294967294" count="1" selected="0">
            <x v="0"/>
          </reference>
          <reference field="29" count="1" selected="0">
            <x v="24"/>
          </reference>
        </references>
      </pivotArea>
    </chartFormat>
    <chartFormat chart="2" format="361" series="1">
      <pivotArea type="data" outline="0" fieldPosition="0">
        <references count="2">
          <reference field="4294967294" count="1" selected="0">
            <x v="1"/>
          </reference>
          <reference field="29" count="1" selected="0">
            <x v="24"/>
          </reference>
        </references>
      </pivotArea>
    </chartFormat>
    <chartFormat chart="2" format="362" series="1">
      <pivotArea type="data" outline="0" fieldPosition="0">
        <references count="2">
          <reference field="4294967294" count="1" selected="0">
            <x v="0"/>
          </reference>
          <reference field="29" count="1" selected="0">
            <x v="25"/>
          </reference>
        </references>
      </pivotArea>
    </chartFormat>
    <chartFormat chart="2" format="363" series="1">
      <pivotArea type="data" outline="0" fieldPosition="0">
        <references count="2">
          <reference field="4294967294" count="1" selected="0">
            <x v="1"/>
          </reference>
          <reference field="29" count="1" selected="0">
            <x v="25"/>
          </reference>
        </references>
      </pivotArea>
    </chartFormat>
    <chartFormat chart="2" format="364" series="1">
      <pivotArea type="data" outline="0" fieldPosition="0">
        <references count="2">
          <reference field="4294967294" count="1" selected="0">
            <x v="0"/>
          </reference>
          <reference field="29" count="1" selected="0">
            <x v="26"/>
          </reference>
        </references>
      </pivotArea>
    </chartFormat>
    <chartFormat chart="2" format="365" series="1">
      <pivotArea type="data" outline="0" fieldPosition="0">
        <references count="2">
          <reference field="4294967294" count="1" selected="0">
            <x v="1"/>
          </reference>
          <reference field="29" count="1" selected="0">
            <x v="26"/>
          </reference>
        </references>
      </pivotArea>
    </chartFormat>
    <chartFormat chart="2" format="366" series="1">
      <pivotArea type="data" outline="0" fieldPosition="0">
        <references count="2">
          <reference field="4294967294" count="1" selected="0">
            <x v="0"/>
          </reference>
          <reference field="29" count="1" selected="0">
            <x v="27"/>
          </reference>
        </references>
      </pivotArea>
    </chartFormat>
    <chartFormat chart="2" format="367" series="1">
      <pivotArea type="data" outline="0" fieldPosition="0">
        <references count="2">
          <reference field="4294967294" count="1" selected="0">
            <x v="1"/>
          </reference>
          <reference field="29" count="1" selected="0">
            <x v="27"/>
          </reference>
        </references>
      </pivotArea>
    </chartFormat>
    <chartFormat chart="2" format="368" series="1">
      <pivotArea type="data" outline="0" fieldPosition="0">
        <references count="2">
          <reference field="4294967294" count="1" selected="0">
            <x v="0"/>
          </reference>
          <reference field="29" count="1" selected="0">
            <x v="28"/>
          </reference>
        </references>
      </pivotArea>
    </chartFormat>
    <chartFormat chart="2" format="369" series="1">
      <pivotArea type="data" outline="0" fieldPosition="0">
        <references count="2">
          <reference field="4294967294" count="1" selected="0">
            <x v="1"/>
          </reference>
          <reference field="29" count="1" selected="0">
            <x v="28"/>
          </reference>
        </references>
      </pivotArea>
    </chartFormat>
    <chartFormat chart="2" format="370" series="1">
      <pivotArea type="data" outline="0" fieldPosition="0">
        <references count="2">
          <reference field="4294967294" count="1" selected="0">
            <x v="0"/>
          </reference>
          <reference field="29" count="1" selected="0">
            <x v="29"/>
          </reference>
        </references>
      </pivotArea>
    </chartFormat>
    <chartFormat chart="2" format="371" series="1">
      <pivotArea type="data" outline="0" fieldPosition="0">
        <references count="2">
          <reference field="4294967294" count="1" selected="0">
            <x v="1"/>
          </reference>
          <reference field="29" count="1" selected="0">
            <x v="29"/>
          </reference>
        </references>
      </pivotArea>
    </chartFormat>
    <chartFormat chart="2" format="372" series="1">
      <pivotArea type="data" outline="0" fieldPosition="0">
        <references count="2">
          <reference field="4294967294" count="1" selected="0">
            <x v="0"/>
          </reference>
          <reference field="29" count="1" selected="0">
            <x v="30"/>
          </reference>
        </references>
      </pivotArea>
    </chartFormat>
    <chartFormat chart="2" format="373" series="1">
      <pivotArea type="data" outline="0" fieldPosition="0">
        <references count="2">
          <reference field="4294967294" count="1" selected="0">
            <x v="1"/>
          </reference>
          <reference field="29" count="1" selected="0">
            <x v="30"/>
          </reference>
        </references>
      </pivotArea>
    </chartFormat>
    <chartFormat chart="2" format="374" series="1">
      <pivotArea type="data" outline="0" fieldPosition="0">
        <references count="2">
          <reference field="4294967294" count="1" selected="0">
            <x v="0"/>
          </reference>
          <reference field="29" count="1" selected="0">
            <x v="31"/>
          </reference>
        </references>
      </pivotArea>
    </chartFormat>
    <chartFormat chart="2" format="375" series="1">
      <pivotArea type="data" outline="0" fieldPosition="0">
        <references count="2">
          <reference field="4294967294" count="1" selected="0">
            <x v="1"/>
          </reference>
          <reference field="29" count="1" selected="0">
            <x v="31"/>
          </reference>
        </references>
      </pivotArea>
    </chartFormat>
    <chartFormat chart="2" format="376" series="1">
      <pivotArea type="data" outline="0" fieldPosition="0">
        <references count="2">
          <reference field="4294967294" count="1" selected="0">
            <x v="0"/>
          </reference>
          <reference field="29" count="1" selected="0">
            <x v="32"/>
          </reference>
        </references>
      </pivotArea>
    </chartFormat>
    <chartFormat chart="2" format="377" series="1">
      <pivotArea type="data" outline="0" fieldPosition="0">
        <references count="2">
          <reference field="4294967294" count="1" selected="0">
            <x v="1"/>
          </reference>
          <reference field="29" count="1" selected="0">
            <x v="32"/>
          </reference>
        </references>
      </pivotArea>
    </chartFormat>
    <chartFormat chart="2" format="378" series="1">
      <pivotArea type="data" outline="0" fieldPosition="0">
        <references count="2">
          <reference field="4294967294" count="1" selected="0">
            <x v="0"/>
          </reference>
          <reference field="29" count="1" selected="0">
            <x v="33"/>
          </reference>
        </references>
      </pivotArea>
    </chartFormat>
    <chartFormat chart="2" format="379" series="1">
      <pivotArea type="data" outline="0" fieldPosition="0">
        <references count="2">
          <reference field="4294967294" count="1" selected="0">
            <x v="1"/>
          </reference>
          <reference field="29" count="1" selected="0">
            <x v="33"/>
          </reference>
        </references>
      </pivotArea>
    </chartFormat>
    <chartFormat chart="2" format="380" series="1">
      <pivotArea type="data" outline="0" fieldPosition="0">
        <references count="2">
          <reference field="4294967294" count="1" selected="0">
            <x v="0"/>
          </reference>
          <reference field="29" count="1" selected="0">
            <x v="34"/>
          </reference>
        </references>
      </pivotArea>
    </chartFormat>
    <chartFormat chart="2" format="381" series="1">
      <pivotArea type="data" outline="0" fieldPosition="0">
        <references count="2">
          <reference field="4294967294" count="1" selected="0">
            <x v="1"/>
          </reference>
          <reference field="29" count="1" selected="0">
            <x v="34"/>
          </reference>
        </references>
      </pivotArea>
    </chartFormat>
    <chartFormat chart="2" format="382" series="1">
      <pivotArea type="data" outline="0" fieldPosition="0">
        <references count="2">
          <reference field="4294967294" count="1" selected="0">
            <x v="0"/>
          </reference>
          <reference field="29" count="1" selected="0">
            <x v="35"/>
          </reference>
        </references>
      </pivotArea>
    </chartFormat>
    <chartFormat chart="2" format="383" series="1">
      <pivotArea type="data" outline="0" fieldPosition="0">
        <references count="2">
          <reference field="4294967294" count="1" selected="0">
            <x v="1"/>
          </reference>
          <reference field="29" count="1" selected="0">
            <x v="35"/>
          </reference>
        </references>
      </pivotArea>
    </chartFormat>
    <chartFormat chart="2" format="384" series="1">
      <pivotArea type="data" outline="0" fieldPosition="0">
        <references count="2">
          <reference field="4294967294" count="1" selected="0">
            <x v="0"/>
          </reference>
          <reference field="29" count="1" selected="0">
            <x v="36"/>
          </reference>
        </references>
      </pivotArea>
    </chartFormat>
    <chartFormat chart="2" format="385" series="1">
      <pivotArea type="data" outline="0" fieldPosition="0">
        <references count="2">
          <reference field="4294967294" count="1" selected="0">
            <x v="1"/>
          </reference>
          <reference field="29" count="1" selected="0">
            <x v="36"/>
          </reference>
        </references>
      </pivotArea>
    </chartFormat>
    <chartFormat chart="2" format="386" series="1">
      <pivotArea type="data" outline="0" fieldPosition="0">
        <references count="2">
          <reference field="4294967294" count="1" selected="0">
            <x v="0"/>
          </reference>
          <reference field="29" count="1" selected="0">
            <x v="37"/>
          </reference>
        </references>
      </pivotArea>
    </chartFormat>
    <chartFormat chart="2" format="387" series="1">
      <pivotArea type="data" outline="0" fieldPosition="0">
        <references count="2">
          <reference field="4294967294" count="1" selected="0">
            <x v="1"/>
          </reference>
          <reference field="29" count="1" selected="0">
            <x v="37"/>
          </reference>
        </references>
      </pivotArea>
    </chartFormat>
    <chartFormat chart="2" format="388" series="1">
      <pivotArea type="data" outline="0" fieldPosition="0">
        <references count="2">
          <reference field="4294967294" count="1" selected="0">
            <x v="0"/>
          </reference>
          <reference field="29" count="1" selected="0">
            <x v="38"/>
          </reference>
        </references>
      </pivotArea>
    </chartFormat>
    <chartFormat chart="2" format="389" series="1">
      <pivotArea type="data" outline="0" fieldPosition="0">
        <references count="2">
          <reference field="4294967294" count="1" selected="0">
            <x v="1"/>
          </reference>
          <reference field="29" count="1" selected="0">
            <x v="38"/>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7B605508-A863-47A2-B225-8D3C01334986}" name="PivotTable4" cacheId="2024"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chartFormat="3">
  <location ref="B3:F19" firstHeaderRow="1" firstDataRow="3" firstDataCol="1"/>
  <pivotFields count="54">
    <pivotField showAll="0"/>
    <pivotField axis="axisRow" numFmtId="14" showAll="0">
      <items count="14">
        <item x="7"/>
        <item x="8"/>
        <item x="9"/>
        <item x="10"/>
        <item x="11"/>
        <item x="12"/>
        <item x="0"/>
        <item x="1"/>
        <item x="2"/>
        <item x="3"/>
        <item x="4"/>
        <item x="5"/>
        <item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showAll="0">
      <items count="40">
        <item x="12"/>
        <item h="1" x="5"/>
        <item h="1" x="6"/>
        <item h="1" x="19"/>
        <item h="1" x="37"/>
        <item h="1" x="24"/>
        <item h="1" x="35"/>
        <item h="1" x="17"/>
        <item h="1" x="23"/>
        <item h="1" x="2"/>
        <item h="1" x="31"/>
        <item h="1" x="21"/>
        <item h="1" x="15"/>
        <item h="1" x="36"/>
        <item h="1" x="0"/>
        <item h="1" x="13"/>
        <item h="1" x="29"/>
        <item h="1" x="32"/>
        <item h="1" x="33"/>
        <item h="1" x="27"/>
        <item h="1" x="3"/>
        <item h="1" x="38"/>
        <item h="1" x="26"/>
        <item h="1" x="22"/>
        <item h="1" x="20"/>
        <item h="1" x="9"/>
        <item h="1" x="7"/>
        <item h="1" x="11"/>
        <item h="1" x="14"/>
        <item h="1" x="10"/>
        <item h="1" x="30"/>
        <item h="1" x="1"/>
        <item h="1" x="28"/>
        <item h="1" x="34"/>
        <item h="1" x="18"/>
        <item h="1" x="8"/>
        <item h="1" x="4"/>
        <item h="1" x="16"/>
        <item h="1" x="25"/>
        <item t="default"/>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1"/>
  </rowFields>
  <rowItems count="14">
    <i>
      <x/>
    </i>
    <i>
      <x v="1"/>
    </i>
    <i>
      <x v="2"/>
    </i>
    <i>
      <x v="3"/>
    </i>
    <i>
      <x v="4"/>
    </i>
    <i>
      <x v="5"/>
    </i>
    <i>
      <x v="6"/>
    </i>
    <i>
      <x v="7"/>
    </i>
    <i>
      <x v="8"/>
    </i>
    <i>
      <x v="9"/>
    </i>
    <i>
      <x v="10"/>
    </i>
    <i>
      <x v="11"/>
    </i>
    <i>
      <x v="12"/>
    </i>
    <i t="grand">
      <x/>
    </i>
  </rowItems>
  <colFields count="2">
    <field x="29"/>
    <field x="-2"/>
  </colFields>
  <colItems count="4">
    <i>
      <x/>
      <x/>
    </i>
    <i r="1" i="1">
      <x v="1"/>
    </i>
    <i t="grand">
      <x/>
    </i>
    <i t="grand" i="1">
      <x/>
    </i>
  </colItems>
  <dataFields count="2">
    <dataField name="Asthma Review  %" fld="42" baseField="1" baseItem="0"/>
    <dataField name="Target 71%" fld="43" baseField="1" baseItem="0"/>
  </dataFields>
  <chartFormats count="78">
    <chartFormat chart="2" format="312" series="1">
      <pivotArea type="data" outline="0" fieldPosition="0">
        <references count="2">
          <reference field="4294967294" count="1" selected="0">
            <x v="0"/>
          </reference>
          <reference field="29" count="1" selected="0">
            <x v="0"/>
          </reference>
        </references>
      </pivotArea>
    </chartFormat>
    <chartFormat chart="2" format="313" series="1">
      <pivotArea type="data" outline="0" fieldPosition="0">
        <references count="2">
          <reference field="4294967294" count="1" selected="0">
            <x v="1"/>
          </reference>
          <reference field="29" count="1" selected="0">
            <x v="0"/>
          </reference>
        </references>
      </pivotArea>
    </chartFormat>
    <chartFormat chart="2" format="314" series="1">
      <pivotArea type="data" outline="0" fieldPosition="0">
        <references count="2">
          <reference field="4294967294" count="1" selected="0">
            <x v="0"/>
          </reference>
          <reference field="29" count="1" selected="0">
            <x v="1"/>
          </reference>
        </references>
      </pivotArea>
    </chartFormat>
    <chartFormat chart="2" format="315" series="1">
      <pivotArea type="data" outline="0" fieldPosition="0">
        <references count="2">
          <reference field="4294967294" count="1" selected="0">
            <x v="1"/>
          </reference>
          <reference field="29" count="1" selected="0">
            <x v="1"/>
          </reference>
        </references>
      </pivotArea>
    </chartFormat>
    <chartFormat chart="2" format="316" series="1">
      <pivotArea type="data" outline="0" fieldPosition="0">
        <references count="2">
          <reference field="4294967294" count="1" selected="0">
            <x v="0"/>
          </reference>
          <reference field="29" count="1" selected="0">
            <x v="2"/>
          </reference>
        </references>
      </pivotArea>
    </chartFormat>
    <chartFormat chart="2" format="317" series="1">
      <pivotArea type="data" outline="0" fieldPosition="0">
        <references count="2">
          <reference field="4294967294" count="1" selected="0">
            <x v="1"/>
          </reference>
          <reference field="29" count="1" selected="0">
            <x v="2"/>
          </reference>
        </references>
      </pivotArea>
    </chartFormat>
    <chartFormat chart="2" format="318" series="1">
      <pivotArea type="data" outline="0" fieldPosition="0">
        <references count="2">
          <reference field="4294967294" count="1" selected="0">
            <x v="0"/>
          </reference>
          <reference field="29" count="1" selected="0">
            <x v="3"/>
          </reference>
        </references>
      </pivotArea>
    </chartFormat>
    <chartFormat chart="2" format="319" series="1">
      <pivotArea type="data" outline="0" fieldPosition="0">
        <references count="2">
          <reference field="4294967294" count="1" selected="0">
            <x v="1"/>
          </reference>
          <reference field="29" count="1" selected="0">
            <x v="3"/>
          </reference>
        </references>
      </pivotArea>
    </chartFormat>
    <chartFormat chart="2" format="320" series="1">
      <pivotArea type="data" outline="0" fieldPosition="0">
        <references count="2">
          <reference field="4294967294" count="1" selected="0">
            <x v="0"/>
          </reference>
          <reference field="29" count="1" selected="0">
            <x v="4"/>
          </reference>
        </references>
      </pivotArea>
    </chartFormat>
    <chartFormat chart="2" format="321" series="1">
      <pivotArea type="data" outline="0" fieldPosition="0">
        <references count="2">
          <reference field="4294967294" count="1" selected="0">
            <x v="1"/>
          </reference>
          <reference field="29" count="1" selected="0">
            <x v="4"/>
          </reference>
        </references>
      </pivotArea>
    </chartFormat>
    <chartFormat chart="2" format="322" series="1">
      <pivotArea type="data" outline="0" fieldPosition="0">
        <references count="2">
          <reference field="4294967294" count="1" selected="0">
            <x v="0"/>
          </reference>
          <reference field="29" count="1" selected="0">
            <x v="5"/>
          </reference>
        </references>
      </pivotArea>
    </chartFormat>
    <chartFormat chart="2" format="323" series="1">
      <pivotArea type="data" outline="0" fieldPosition="0">
        <references count="2">
          <reference field="4294967294" count="1" selected="0">
            <x v="1"/>
          </reference>
          <reference field="29" count="1" selected="0">
            <x v="5"/>
          </reference>
        </references>
      </pivotArea>
    </chartFormat>
    <chartFormat chart="2" format="324" series="1">
      <pivotArea type="data" outline="0" fieldPosition="0">
        <references count="2">
          <reference field="4294967294" count="1" selected="0">
            <x v="0"/>
          </reference>
          <reference field="29" count="1" selected="0">
            <x v="6"/>
          </reference>
        </references>
      </pivotArea>
    </chartFormat>
    <chartFormat chart="2" format="325" series="1">
      <pivotArea type="data" outline="0" fieldPosition="0">
        <references count="2">
          <reference field="4294967294" count="1" selected="0">
            <x v="1"/>
          </reference>
          <reference field="29" count="1" selected="0">
            <x v="6"/>
          </reference>
        </references>
      </pivotArea>
    </chartFormat>
    <chartFormat chart="2" format="326" series="1">
      <pivotArea type="data" outline="0" fieldPosition="0">
        <references count="2">
          <reference field="4294967294" count="1" selected="0">
            <x v="0"/>
          </reference>
          <reference field="29" count="1" selected="0">
            <x v="7"/>
          </reference>
        </references>
      </pivotArea>
    </chartFormat>
    <chartFormat chart="2" format="327" series="1">
      <pivotArea type="data" outline="0" fieldPosition="0">
        <references count="2">
          <reference field="4294967294" count="1" selected="0">
            <x v="1"/>
          </reference>
          <reference field="29" count="1" selected="0">
            <x v="7"/>
          </reference>
        </references>
      </pivotArea>
    </chartFormat>
    <chartFormat chart="2" format="328" series="1">
      <pivotArea type="data" outline="0" fieldPosition="0">
        <references count="2">
          <reference field="4294967294" count="1" selected="0">
            <x v="0"/>
          </reference>
          <reference field="29" count="1" selected="0">
            <x v="8"/>
          </reference>
        </references>
      </pivotArea>
    </chartFormat>
    <chartFormat chart="2" format="329" series="1">
      <pivotArea type="data" outline="0" fieldPosition="0">
        <references count="2">
          <reference field="4294967294" count="1" selected="0">
            <x v="1"/>
          </reference>
          <reference field="29" count="1" selected="0">
            <x v="8"/>
          </reference>
        </references>
      </pivotArea>
    </chartFormat>
    <chartFormat chart="2" format="330" series="1">
      <pivotArea type="data" outline="0" fieldPosition="0">
        <references count="2">
          <reference field="4294967294" count="1" selected="0">
            <x v="0"/>
          </reference>
          <reference field="29" count="1" selected="0">
            <x v="9"/>
          </reference>
        </references>
      </pivotArea>
    </chartFormat>
    <chartFormat chart="2" format="331" series="1">
      <pivotArea type="data" outline="0" fieldPosition="0">
        <references count="2">
          <reference field="4294967294" count="1" selected="0">
            <x v="1"/>
          </reference>
          <reference field="29" count="1" selected="0">
            <x v="9"/>
          </reference>
        </references>
      </pivotArea>
    </chartFormat>
    <chartFormat chart="2" format="332" series="1">
      <pivotArea type="data" outline="0" fieldPosition="0">
        <references count="2">
          <reference field="4294967294" count="1" selected="0">
            <x v="0"/>
          </reference>
          <reference field="29" count="1" selected="0">
            <x v="10"/>
          </reference>
        </references>
      </pivotArea>
    </chartFormat>
    <chartFormat chart="2" format="333" series="1">
      <pivotArea type="data" outline="0" fieldPosition="0">
        <references count="2">
          <reference field="4294967294" count="1" selected="0">
            <x v="1"/>
          </reference>
          <reference field="29" count="1" selected="0">
            <x v="10"/>
          </reference>
        </references>
      </pivotArea>
    </chartFormat>
    <chartFormat chart="2" format="334" series="1">
      <pivotArea type="data" outline="0" fieldPosition="0">
        <references count="2">
          <reference field="4294967294" count="1" selected="0">
            <x v="0"/>
          </reference>
          <reference field="29" count="1" selected="0">
            <x v="11"/>
          </reference>
        </references>
      </pivotArea>
    </chartFormat>
    <chartFormat chart="2" format="335" series="1">
      <pivotArea type="data" outline="0" fieldPosition="0">
        <references count="2">
          <reference field="4294967294" count="1" selected="0">
            <x v="1"/>
          </reference>
          <reference field="29" count="1" selected="0">
            <x v="11"/>
          </reference>
        </references>
      </pivotArea>
    </chartFormat>
    <chartFormat chart="2" format="336" series="1">
      <pivotArea type="data" outline="0" fieldPosition="0">
        <references count="2">
          <reference field="4294967294" count="1" selected="0">
            <x v="0"/>
          </reference>
          <reference field="29" count="1" selected="0">
            <x v="12"/>
          </reference>
        </references>
      </pivotArea>
    </chartFormat>
    <chartFormat chart="2" format="337" series="1">
      <pivotArea type="data" outline="0" fieldPosition="0">
        <references count="2">
          <reference field="4294967294" count="1" selected="0">
            <x v="1"/>
          </reference>
          <reference field="29" count="1" selected="0">
            <x v="12"/>
          </reference>
        </references>
      </pivotArea>
    </chartFormat>
    <chartFormat chart="2" format="338" series="1">
      <pivotArea type="data" outline="0" fieldPosition="0">
        <references count="2">
          <reference field="4294967294" count="1" selected="0">
            <x v="0"/>
          </reference>
          <reference field="29" count="1" selected="0">
            <x v="13"/>
          </reference>
        </references>
      </pivotArea>
    </chartFormat>
    <chartFormat chart="2" format="339" series="1">
      <pivotArea type="data" outline="0" fieldPosition="0">
        <references count="2">
          <reference field="4294967294" count="1" selected="0">
            <x v="1"/>
          </reference>
          <reference field="29" count="1" selected="0">
            <x v="13"/>
          </reference>
        </references>
      </pivotArea>
    </chartFormat>
    <chartFormat chart="2" format="340" series="1">
      <pivotArea type="data" outline="0" fieldPosition="0">
        <references count="2">
          <reference field="4294967294" count="1" selected="0">
            <x v="0"/>
          </reference>
          <reference field="29" count="1" selected="0">
            <x v="14"/>
          </reference>
        </references>
      </pivotArea>
    </chartFormat>
    <chartFormat chart="2" format="341" series="1">
      <pivotArea type="data" outline="0" fieldPosition="0">
        <references count="2">
          <reference field="4294967294" count="1" selected="0">
            <x v="1"/>
          </reference>
          <reference field="29" count="1" selected="0">
            <x v="14"/>
          </reference>
        </references>
      </pivotArea>
    </chartFormat>
    <chartFormat chart="2" format="342" series="1">
      <pivotArea type="data" outline="0" fieldPosition="0">
        <references count="2">
          <reference field="4294967294" count="1" selected="0">
            <x v="0"/>
          </reference>
          <reference field="29" count="1" selected="0">
            <x v="15"/>
          </reference>
        </references>
      </pivotArea>
    </chartFormat>
    <chartFormat chart="2" format="343" series="1">
      <pivotArea type="data" outline="0" fieldPosition="0">
        <references count="2">
          <reference field="4294967294" count="1" selected="0">
            <x v="1"/>
          </reference>
          <reference field="29" count="1" selected="0">
            <x v="15"/>
          </reference>
        </references>
      </pivotArea>
    </chartFormat>
    <chartFormat chart="2" format="344" series="1">
      <pivotArea type="data" outline="0" fieldPosition="0">
        <references count="2">
          <reference field="4294967294" count="1" selected="0">
            <x v="0"/>
          </reference>
          <reference field="29" count="1" selected="0">
            <x v="16"/>
          </reference>
        </references>
      </pivotArea>
    </chartFormat>
    <chartFormat chart="2" format="345" series="1">
      <pivotArea type="data" outline="0" fieldPosition="0">
        <references count="2">
          <reference field="4294967294" count="1" selected="0">
            <x v="1"/>
          </reference>
          <reference field="29" count="1" selected="0">
            <x v="16"/>
          </reference>
        </references>
      </pivotArea>
    </chartFormat>
    <chartFormat chart="2" format="346" series="1">
      <pivotArea type="data" outline="0" fieldPosition="0">
        <references count="2">
          <reference field="4294967294" count="1" selected="0">
            <x v="0"/>
          </reference>
          <reference field="29" count="1" selected="0">
            <x v="17"/>
          </reference>
        </references>
      </pivotArea>
    </chartFormat>
    <chartFormat chart="2" format="347" series="1">
      <pivotArea type="data" outline="0" fieldPosition="0">
        <references count="2">
          <reference field="4294967294" count="1" selected="0">
            <x v="1"/>
          </reference>
          <reference field="29" count="1" selected="0">
            <x v="17"/>
          </reference>
        </references>
      </pivotArea>
    </chartFormat>
    <chartFormat chart="2" format="348" series="1">
      <pivotArea type="data" outline="0" fieldPosition="0">
        <references count="2">
          <reference field="4294967294" count="1" selected="0">
            <x v="0"/>
          </reference>
          <reference field="29" count="1" selected="0">
            <x v="18"/>
          </reference>
        </references>
      </pivotArea>
    </chartFormat>
    <chartFormat chart="2" format="349" series="1">
      <pivotArea type="data" outline="0" fieldPosition="0">
        <references count="2">
          <reference field="4294967294" count="1" selected="0">
            <x v="1"/>
          </reference>
          <reference field="29" count="1" selected="0">
            <x v="18"/>
          </reference>
        </references>
      </pivotArea>
    </chartFormat>
    <chartFormat chart="2" format="350" series="1">
      <pivotArea type="data" outline="0" fieldPosition="0">
        <references count="2">
          <reference field="4294967294" count="1" selected="0">
            <x v="0"/>
          </reference>
          <reference field="29" count="1" selected="0">
            <x v="19"/>
          </reference>
        </references>
      </pivotArea>
    </chartFormat>
    <chartFormat chart="2" format="351" series="1">
      <pivotArea type="data" outline="0" fieldPosition="0">
        <references count="2">
          <reference field="4294967294" count="1" selected="0">
            <x v="1"/>
          </reference>
          <reference field="29" count="1" selected="0">
            <x v="19"/>
          </reference>
        </references>
      </pivotArea>
    </chartFormat>
    <chartFormat chart="2" format="352" series="1">
      <pivotArea type="data" outline="0" fieldPosition="0">
        <references count="2">
          <reference field="4294967294" count="1" selected="0">
            <x v="0"/>
          </reference>
          <reference field="29" count="1" selected="0">
            <x v="20"/>
          </reference>
        </references>
      </pivotArea>
    </chartFormat>
    <chartFormat chart="2" format="353" series="1">
      <pivotArea type="data" outline="0" fieldPosition="0">
        <references count="2">
          <reference field="4294967294" count="1" selected="0">
            <x v="1"/>
          </reference>
          <reference field="29" count="1" selected="0">
            <x v="20"/>
          </reference>
        </references>
      </pivotArea>
    </chartFormat>
    <chartFormat chart="2" format="354" series="1">
      <pivotArea type="data" outline="0" fieldPosition="0">
        <references count="2">
          <reference field="4294967294" count="1" selected="0">
            <x v="0"/>
          </reference>
          <reference field="29" count="1" selected="0">
            <x v="21"/>
          </reference>
        </references>
      </pivotArea>
    </chartFormat>
    <chartFormat chart="2" format="355" series="1">
      <pivotArea type="data" outline="0" fieldPosition="0">
        <references count="2">
          <reference field="4294967294" count="1" selected="0">
            <x v="1"/>
          </reference>
          <reference field="29" count="1" selected="0">
            <x v="21"/>
          </reference>
        </references>
      </pivotArea>
    </chartFormat>
    <chartFormat chart="2" format="356" series="1">
      <pivotArea type="data" outline="0" fieldPosition="0">
        <references count="2">
          <reference field="4294967294" count="1" selected="0">
            <x v="0"/>
          </reference>
          <reference field="29" count="1" selected="0">
            <x v="22"/>
          </reference>
        </references>
      </pivotArea>
    </chartFormat>
    <chartFormat chart="2" format="357" series="1">
      <pivotArea type="data" outline="0" fieldPosition="0">
        <references count="2">
          <reference field="4294967294" count="1" selected="0">
            <x v="1"/>
          </reference>
          <reference field="29" count="1" selected="0">
            <x v="22"/>
          </reference>
        </references>
      </pivotArea>
    </chartFormat>
    <chartFormat chart="2" format="358" series="1">
      <pivotArea type="data" outline="0" fieldPosition="0">
        <references count="2">
          <reference field="4294967294" count="1" selected="0">
            <x v="0"/>
          </reference>
          <reference field="29" count="1" selected="0">
            <x v="23"/>
          </reference>
        </references>
      </pivotArea>
    </chartFormat>
    <chartFormat chart="2" format="359" series="1">
      <pivotArea type="data" outline="0" fieldPosition="0">
        <references count="2">
          <reference field="4294967294" count="1" selected="0">
            <x v="1"/>
          </reference>
          <reference field="29" count="1" selected="0">
            <x v="23"/>
          </reference>
        </references>
      </pivotArea>
    </chartFormat>
    <chartFormat chart="2" format="360" series="1">
      <pivotArea type="data" outline="0" fieldPosition="0">
        <references count="2">
          <reference field="4294967294" count="1" selected="0">
            <x v="0"/>
          </reference>
          <reference field="29" count="1" selected="0">
            <x v="24"/>
          </reference>
        </references>
      </pivotArea>
    </chartFormat>
    <chartFormat chart="2" format="361" series="1">
      <pivotArea type="data" outline="0" fieldPosition="0">
        <references count="2">
          <reference field="4294967294" count="1" selected="0">
            <x v="1"/>
          </reference>
          <reference field="29" count="1" selected="0">
            <x v="24"/>
          </reference>
        </references>
      </pivotArea>
    </chartFormat>
    <chartFormat chart="2" format="362" series="1">
      <pivotArea type="data" outline="0" fieldPosition="0">
        <references count="2">
          <reference field="4294967294" count="1" selected="0">
            <x v="0"/>
          </reference>
          <reference field="29" count="1" selected="0">
            <x v="25"/>
          </reference>
        </references>
      </pivotArea>
    </chartFormat>
    <chartFormat chart="2" format="363" series="1">
      <pivotArea type="data" outline="0" fieldPosition="0">
        <references count="2">
          <reference field="4294967294" count="1" selected="0">
            <x v="1"/>
          </reference>
          <reference field="29" count="1" selected="0">
            <x v="25"/>
          </reference>
        </references>
      </pivotArea>
    </chartFormat>
    <chartFormat chart="2" format="364" series="1">
      <pivotArea type="data" outline="0" fieldPosition="0">
        <references count="2">
          <reference field="4294967294" count="1" selected="0">
            <x v="0"/>
          </reference>
          <reference field="29" count="1" selected="0">
            <x v="26"/>
          </reference>
        </references>
      </pivotArea>
    </chartFormat>
    <chartFormat chart="2" format="365" series="1">
      <pivotArea type="data" outline="0" fieldPosition="0">
        <references count="2">
          <reference field="4294967294" count="1" selected="0">
            <x v="1"/>
          </reference>
          <reference field="29" count="1" selected="0">
            <x v="26"/>
          </reference>
        </references>
      </pivotArea>
    </chartFormat>
    <chartFormat chart="2" format="366" series="1">
      <pivotArea type="data" outline="0" fieldPosition="0">
        <references count="2">
          <reference field="4294967294" count="1" selected="0">
            <x v="0"/>
          </reference>
          <reference field="29" count="1" selected="0">
            <x v="27"/>
          </reference>
        </references>
      </pivotArea>
    </chartFormat>
    <chartFormat chart="2" format="367" series="1">
      <pivotArea type="data" outline="0" fieldPosition="0">
        <references count="2">
          <reference field="4294967294" count="1" selected="0">
            <x v="1"/>
          </reference>
          <reference field="29" count="1" selected="0">
            <x v="27"/>
          </reference>
        </references>
      </pivotArea>
    </chartFormat>
    <chartFormat chart="2" format="368" series="1">
      <pivotArea type="data" outline="0" fieldPosition="0">
        <references count="2">
          <reference field="4294967294" count="1" selected="0">
            <x v="0"/>
          </reference>
          <reference field="29" count="1" selected="0">
            <x v="28"/>
          </reference>
        </references>
      </pivotArea>
    </chartFormat>
    <chartFormat chart="2" format="369" series="1">
      <pivotArea type="data" outline="0" fieldPosition="0">
        <references count="2">
          <reference field="4294967294" count="1" selected="0">
            <x v="1"/>
          </reference>
          <reference field="29" count="1" selected="0">
            <x v="28"/>
          </reference>
        </references>
      </pivotArea>
    </chartFormat>
    <chartFormat chart="2" format="370" series="1">
      <pivotArea type="data" outline="0" fieldPosition="0">
        <references count="2">
          <reference field="4294967294" count="1" selected="0">
            <x v="0"/>
          </reference>
          <reference field="29" count="1" selected="0">
            <x v="29"/>
          </reference>
        </references>
      </pivotArea>
    </chartFormat>
    <chartFormat chart="2" format="371" series="1">
      <pivotArea type="data" outline="0" fieldPosition="0">
        <references count="2">
          <reference field="4294967294" count="1" selected="0">
            <x v="1"/>
          </reference>
          <reference field="29" count="1" selected="0">
            <x v="29"/>
          </reference>
        </references>
      </pivotArea>
    </chartFormat>
    <chartFormat chart="2" format="372" series="1">
      <pivotArea type="data" outline="0" fieldPosition="0">
        <references count="2">
          <reference field="4294967294" count="1" selected="0">
            <x v="0"/>
          </reference>
          <reference field="29" count="1" selected="0">
            <x v="30"/>
          </reference>
        </references>
      </pivotArea>
    </chartFormat>
    <chartFormat chart="2" format="373" series="1">
      <pivotArea type="data" outline="0" fieldPosition="0">
        <references count="2">
          <reference field="4294967294" count="1" selected="0">
            <x v="1"/>
          </reference>
          <reference field="29" count="1" selected="0">
            <x v="30"/>
          </reference>
        </references>
      </pivotArea>
    </chartFormat>
    <chartFormat chart="2" format="374" series="1">
      <pivotArea type="data" outline="0" fieldPosition="0">
        <references count="2">
          <reference field="4294967294" count="1" selected="0">
            <x v="0"/>
          </reference>
          <reference field="29" count="1" selected="0">
            <x v="31"/>
          </reference>
        </references>
      </pivotArea>
    </chartFormat>
    <chartFormat chart="2" format="375" series="1">
      <pivotArea type="data" outline="0" fieldPosition="0">
        <references count="2">
          <reference field="4294967294" count="1" selected="0">
            <x v="1"/>
          </reference>
          <reference field="29" count="1" selected="0">
            <x v="31"/>
          </reference>
        </references>
      </pivotArea>
    </chartFormat>
    <chartFormat chart="2" format="376" series="1">
      <pivotArea type="data" outline="0" fieldPosition="0">
        <references count="2">
          <reference field="4294967294" count="1" selected="0">
            <x v="0"/>
          </reference>
          <reference field="29" count="1" selected="0">
            <x v="32"/>
          </reference>
        </references>
      </pivotArea>
    </chartFormat>
    <chartFormat chart="2" format="377" series="1">
      <pivotArea type="data" outline="0" fieldPosition="0">
        <references count="2">
          <reference field="4294967294" count="1" selected="0">
            <x v="1"/>
          </reference>
          <reference field="29" count="1" selected="0">
            <x v="32"/>
          </reference>
        </references>
      </pivotArea>
    </chartFormat>
    <chartFormat chart="2" format="378" series="1">
      <pivotArea type="data" outline="0" fieldPosition="0">
        <references count="2">
          <reference field="4294967294" count="1" selected="0">
            <x v="0"/>
          </reference>
          <reference field="29" count="1" selected="0">
            <x v="33"/>
          </reference>
        </references>
      </pivotArea>
    </chartFormat>
    <chartFormat chart="2" format="379" series="1">
      <pivotArea type="data" outline="0" fieldPosition="0">
        <references count="2">
          <reference field="4294967294" count="1" selected="0">
            <x v="1"/>
          </reference>
          <reference field="29" count="1" selected="0">
            <x v="33"/>
          </reference>
        </references>
      </pivotArea>
    </chartFormat>
    <chartFormat chart="2" format="380" series="1">
      <pivotArea type="data" outline="0" fieldPosition="0">
        <references count="2">
          <reference field="4294967294" count="1" selected="0">
            <x v="0"/>
          </reference>
          <reference field="29" count="1" selected="0">
            <x v="34"/>
          </reference>
        </references>
      </pivotArea>
    </chartFormat>
    <chartFormat chart="2" format="381" series="1">
      <pivotArea type="data" outline="0" fieldPosition="0">
        <references count="2">
          <reference field="4294967294" count="1" selected="0">
            <x v="1"/>
          </reference>
          <reference field="29" count="1" selected="0">
            <x v="34"/>
          </reference>
        </references>
      </pivotArea>
    </chartFormat>
    <chartFormat chart="2" format="382" series="1">
      <pivotArea type="data" outline="0" fieldPosition="0">
        <references count="2">
          <reference field="4294967294" count="1" selected="0">
            <x v="0"/>
          </reference>
          <reference field="29" count="1" selected="0">
            <x v="35"/>
          </reference>
        </references>
      </pivotArea>
    </chartFormat>
    <chartFormat chart="2" format="383" series="1">
      <pivotArea type="data" outline="0" fieldPosition="0">
        <references count="2">
          <reference field="4294967294" count="1" selected="0">
            <x v="1"/>
          </reference>
          <reference field="29" count="1" selected="0">
            <x v="35"/>
          </reference>
        </references>
      </pivotArea>
    </chartFormat>
    <chartFormat chart="2" format="384" series="1">
      <pivotArea type="data" outline="0" fieldPosition="0">
        <references count="2">
          <reference field="4294967294" count="1" selected="0">
            <x v="0"/>
          </reference>
          <reference field="29" count="1" selected="0">
            <x v="36"/>
          </reference>
        </references>
      </pivotArea>
    </chartFormat>
    <chartFormat chart="2" format="385" series="1">
      <pivotArea type="data" outline="0" fieldPosition="0">
        <references count="2">
          <reference field="4294967294" count="1" selected="0">
            <x v="1"/>
          </reference>
          <reference field="29" count="1" selected="0">
            <x v="36"/>
          </reference>
        </references>
      </pivotArea>
    </chartFormat>
    <chartFormat chart="2" format="386" series="1">
      <pivotArea type="data" outline="0" fieldPosition="0">
        <references count="2">
          <reference field="4294967294" count="1" selected="0">
            <x v="0"/>
          </reference>
          <reference field="29" count="1" selected="0">
            <x v="37"/>
          </reference>
        </references>
      </pivotArea>
    </chartFormat>
    <chartFormat chart="2" format="387" series="1">
      <pivotArea type="data" outline="0" fieldPosition="0">
        <references count="2">
          <reference field="4294967294" count="1" selected="0">
            <x v="1"/>
          </reference>
          <reference field="29" count="1" selected="0">
            <x v="37"/>
          </reference>
        </references>
      </pivotArea>
    </chartFormat>
    <chartFormat chart="2" format="388" series="1">
      <pivotArea type="data" outline="0" fieldPosition="0">
        <references count="2">
          <reference field="4294967294" count="1" selected="0">
            <x v="0"/>
          </reference>
          <reference field="29" count="1" selected="0">
            <x v="38"/>
          </reference>
        </references>
      </pivotArea>
    </chartFormat>
    <chartFormat chart="2" format="389" series="1">
      <pivotArea type="data" outline="0" fieldPosition="0">
        <references count="2">
          <reference field="4294967294" count="1" selected="0">
            <x v="1"/>
          </reference>
          <reference field="29" count="1" selected="0">
            <x v="38"/>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8.xml><?xml version="1.0" encoding="utf-8"?>
<pivotTableDefinition xmlns="http://schemas.openxmlformats.org/spreadsheetml/2006/main" xmlns:mc="http://schemas.openxmlformats.org/markup-compatibility/2006" xmlns:xr="http://schemas.microsoft.com/office/spreadsheetml/2014/revision" mc:Ignorable="xr" xr:uid="{AEC1DCCB-2227-4507-B4B9-945BE99D0966}" name="PivotTable5" cacheId="2024"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chartFormat="3">
  <location ref="B31:F47" firstHeaderRow="1" firstDataRow="3" firstDataCol="1"/>
  <pivotFields count="54">
    <pivotField showAll="0"/>
    <pivotField axis="axisRow" numFmtId="14" showAll="0">
      <items count="14">
        <item x="7"/>
        <item x="8"/>
        <item x="9"/>
        <item x="10"/>
        <item x="11"/>
        <item x="12"/>
        <item x="0"/>
        <item x="1"/>
        <item x="2"/>
        <item x="3"/>
        <item x="4"/>
        <item x="5"/>
        <item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showAll="0">
      <items count="40">
        <item x="12"/>
        <item h="1" x="5"/>
        <item h="1" x="6"/>
        <item h="1" x="19"/>
        <item h="1" x="37"/>
        <item h="1" x="24"/>
        <item h="1" x="35"/>
        <item h="1" x="17"/>
        <item h="1" x="23"/>
        <item h="1" x="2"/>
        <item h="1" x="31"/>
        <item h="1" x="21"/>
        <item h="1" x="15"/>
        <item h="1" x="36"/>
        <item h="1" x="0"/>
        <item h="1" x="13"/>
        <item h="1" x="29"/>
        <item h="1" x="32"/>
        <item h="1" x="33"/>
        <item h="1" x="27"/>
        <item h="1" x="3"/>
        <item h="1" x="38"/>
        <item h="1" x="26"/>
        <item h="1" x="22"/>
        <item h="1" x="20"/>
        <item h="1" x="9"/>
        <item h="1" x="7"/>
        <item h="1" x="11"/>
        <item h="1" x="14"/>
        <item h="1" x="10"/>
        <item h="1" x="30"/>
        <item h="1" x="1"/>
        <item h="1" x="28"/>
        <item h="1" x="34"/>
        <item h="1" x="18"/>
        <item h="1" x="8"/>
        <item h="1" x="4"/>
        <item h="1" x="16"/>
        <item h="1" x="25"/>
        <item t="default"/>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1"/>
  </rowFields>
  <rowItems count="14">
    <i>
      <x/>
    </i>
    <i>
      <x v="1"/>
    </i>
    <i>
      <x v="2"/>
    </i>
    <i>
      <x v="3"/>
    </i>
    <i>
      <x v="4"/>
    </i>
    <i>
      <x v="5"/>
    </i>
    <i>
      <x v="6"/>
    </i>
    <i>
      <x v="7"/>
    </i>
    <i>
      <x v="8"/>
    </i>
    <i>
      <x v="9"/>
    </i>
    <i>
      <x v="10"/>
    </i>
    <i>
      <x v="11"/>
    </i>
    <i>
      <x v="12"/>
    </i>
    <i t="grand">
      <x/>
    </i>
  </rowItems>
  <colFields count="2">
    <field x="29"/>
    <field x="-2"/>
  </colFields>
  <colItems count="4">
    <i>
      <x/>
      <x/>
    </i>
    <i r="1" i="1">
      <x v="1"/>
    </i>
    <i t="grand">
      <x/>
    </i>
    <i t="grand" i="1">
      <x/>
    </i>
  </colItems>
  <dataFields count="2">
    <dataField name="Asthma Action plan  %" fld="44" baseField="1" baseItem="0"/>
    <dataField name="Target 90%" fld="45" baseField="1" baseItem="0"/>
  </dataFields>
  <chartFormats count="4">
    <chartFormat chart="2" format="160" series="1">
      <pivotArea type="data" outline="0" fieldPosition="0">
        <references count="2">
          <reference field="4294967294" count="1" selected="0">
            <x v="0"/>
          </reference>
          <reference field="29" count="1" selected="0">
            <x v="0"/>
          </reference>
        </references>
      </pivotArea>
    </chartFormat>
    <chartFormat chart="2" format="161" series="1">
      <pivotArea type="data" outline="0" fieldPosition="0">
        <references count="2">
          <reference field="4294967294" count="1" selected="0">
            <x v="1"/>
          </reference>
          <reference field="29" count="1" selected="0">
            <x v="0"/>
          </reference>
        </references>
      </pivotArea>
    </chartFormat>
    <chartFormat chart="2" format="162" series="1">
      <pivotArea type="data" outline="0" fieldPosition="0">
        <references count="2">
          <reference field="4294967294" count="1" selected="0">
            <x v="0"/>
          </reference>
          <reference field="29" count="1" selected="0">
            <x v="1"/>
          </reference>
        </references>
      </pivotArea>
    </chartFormat>
    <chartFormat chart="2" format="163" series="1">
      <pivotArea type="data" outline="0" fieldPosition="0">
        <references count="2">
          <reference field="4294967294" count="1" selected="0">
            <x v="1"/>
          </reference>
          <reference field="29" count="1" selected="0">
            <x v="1"/>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9.xml><?xml version="1.0" encoding="utf-8"?>
<pivotTableDefinition xmlns="http://schemas.openxmlformats.org/spreadsheetml/2006/main" xmlns:mc="http://schemas.openxmlformats.org/markup-compatibility/2006" xmlns:xr="http://schemas.microsoft.com/office/spreadsheetml/2014/revision" mc:Ignorable="xr" xr:uid="{8973C0F7-21A5-42B2-A40F-DE9C52CFC4F4}" name="PivotTable6" cacheId="2024"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chartFormat="3">
  <location ref="B56:F72" firstHeaderRow="1" firstDataRow="3" firstDataCol="1"/>
  <pivotFields count="54">
    <pivotField showAll="0"/>
    <pivotField axis="axisRow" numFmtId="14" showAll="0">
      <items count="14">
        <item x="7"/>
        <item x="8"/>
        <item x="9"/>
        <item x="10"/>
        <item x="11"/>
        <item x="12"/>
        <item x="0"/>
        <item x="1"/>
        <item x="2"/>
        <item x="3"/>
        <item x="4"/>
        <item x="5"/>
        <item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showAll="0">
      <items count="40">
        <item x="12"/>
        <item h="1" x="5"/>
        <item h="1" x="6"/>
        <item h="1" x="19"/>
        <item h="1" x="37"/>
        <item h="1" x="24"/>
        <item h="1" x="35"/>
        <item h="1" x="17"/>
        <item h="1" x="23"/>
        <item h="1" x="2"/>
        <item h="1" x="31"/>
        <item h="1" x="21"/>
        <item h="1" x="15"/>
        <item h="1" x="36"/>
        <item h="1" x="0"/>
        <item h="1" x="13"/>
        <item h="1" x="29"/>
        <item h="1" x="32"/>
        <item h="1" x="33"/>
        <item h="1" x="27"/>
        <item h="1" x="3"/>
        <item h="1" x="38"/>
        <item h="1" x="26"/>
        <item h="1" x="22"/>
        <item h="1" x="20"/>
        <item h="1" x="9"/>
        <item h="1" x="7"/>
        <item h="1" x="11"/>
        <item h="1" x="14"/>
        <item h="1" x="10"/>
        <item h="1" x="30"/>
        <item h="1" x="1"/>
        <item h="1" x="28"/>
        <item h="1" x="34"/>
        <item h="1" x="18"/>
        <item h="1" x="8"/>
        <item h="1" x="4"/>
        <item h="1" x="16"/>
        <item h="1" x="25"/>
        <item t="default"/>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1"/>
  </rowFields>
  <rowItems count="14">
    <i>
      <x/>
    </i>
    <i>
      <x v="1"/>
    </i>
    <i>
      <x v="2"/>
    </i>
    <i>
      <x v="3"/>
    </i>
    <i>
      <x v="4"/>
    </i>
    <i>
      <x v="5"/>
    </i>
    <i>
      <x v="6"/>
    </i>
    <i>
      <x v="7"/>
    </i>
    <i>
      <x v="8"/>
    </i>
    <i>
      <x v="9"/>
    </i>
    <i>
      <x v="10"/>
    </i>
    <i>
      <x v="11"/>
    </i>
    <i>
      <x v="12"/>
    </i>
    <i t="grand">
      <x/>
    </i>
  </rowItems>
  <colFields count="2">
    <field x="29"/>
    <field x="-2"/>
  </colFields>
  <colItems count="4">
    <i>
      <x/>
      <x/>
    </i>
    <i r="1" i="1">
      <x v="1"/>
    </i>
    <i t="grand">
      <x/>
    </i>
    <i t="grand" i="1">
      <x/>
    </i>
  </colItems>
  <dataFields count="2">
    <dataField name="ACT %" fld="46" baseField="1" baseItem="0"/>
    <dataField name="Target  80%" fld="36" baseField="1" baseItem="0"/>
  </dataFields>
  <chartFormats count="4">
    <chartFormat chart="2" format="160" series="1">
      <pivotArea type="data" outline="0" fieldPosition="0">
        <references count="2">
          <reference field="4294967294" count="1" selected="0">
            <x v="0"/>
          </reference>
          <reference field="29" count="1" selected="0">
            <x v="0"/>
          </reference>
        </references>
      </pivotArea>
    </chartFormat>
    <chartFormat chart="2" format="161" series="1">
      <pivotArea type="data" outline="0" fieldPosition="0">
        <references count="2">
          <reference field="4294967294" count="1" selected="0">
            <x v="1"/>
          </reference>
          <reference field="29" count="1" selected="0">
            <x v="0"/>
          </reference>
        </references>
      </pivotArea>
    </chartFormat>
    <chartFormat chart="2" format="162" series="1">
      <pivotArea type="data" outline="0" fieldPosition="0">
        <references count="2">
          <reference field="4294967294" count="1" selected="0">
            <x v="0"/>
          </reference>
          <reference field="29" count="1" selected="0">
            <x v="1"/>
          </reference>
        </references>
      </pivotArea>
    </chartFormat>
    <chartFormat chart="2" format="163" series="1">
      <pivotArea type="data" outline="0" fieldPosition="0">
        <references count="2">
          <reference field="4294967294" count="1" selected="0">
            <x v="1"/>
          </reference>
          <reference field="29" count="1" selected="0">
            <x v="1"/>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0.xml><?xml version="1.0" encoding="utf-8"?>
<pivotTableDefinition xmlns="http://schemas.openxmlformats.org/spreadsheetml/2006/main" xmlns:mc="http://schemas.openxmlformats.org/markup-compatibility/2006" xmlns:xr="http://schemas.microsoft.com/office/spreadsheetml/2014/revision" mc:Ignorable="xr" xr:uid="{FFA3AE6F-1266-4376-9EC7-382760DB6C63}" name="PivotTable1" cacheId="2024"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chartFormat="3">
  <location ref="B3:F19" firstHeaderRow="1" firstDataRow="3" firstDataCol="1"/>
  <pivotFields count="54">
    <pivotField showAll="0"/>
    <pivotField axis="axisRow" numFmtId="14" showAll="0">
      <items count="14">
        <item x="7"/>
        <item x="8"/>
        <item x="9"/>
        <item x="10"/>
        <item x="11"/>
        <item x="12"/>
        <item x="0"/>
        <item x="1"/>
        <item x="2"/>
        <item x="3"/>
        <item x="4"/>
        <item x="5"/>
        <item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showAll="0">
      <items count="40">
        <item x="12"/>
        <item h="1" x="5"/>
        <item h="1" x="6"/>
        <item h="1" x="19"/>
        <item h="1" x="37"/>
        <item h="1" x="24"/>
        <item h="1" x="35"/>
        <item h="1" x="17"/>
        <item h="1" x="23"/>
        <item h="1" x="2"/>
        <item h="1" x="31"/>
        <item h="1" x="21"/>
        <item h="1" x="15"/>
        <item h="1" x="36"/>
        <item h="1" x="0"/>
        <item h="1" x="13"/>
        <item h="1" x="29"/>
        <item h="1" x="32"/>
        <item h="1" x="33"/>
        <item h="1" x="27"/>
        <item h="1" x="3"/>
        <item h="1" x="38"/>
        <item h="1" x="26"/>
        <item h="1" x="22"/>
        <item h="1" x="20"/>
        <item h="1" x="9"/>
        <item h="1" x="7"/>
        <item h="1" x="11"/>
        <item h="1" x="14"/>
        <item h="1" x="10"/>
        <item h="1" x="30"/>
        <item h="1" x="1"/>
        <item h="1" x="28"/>
        <item h="1" x="34"/>
        <item h="1" x="18"/>
        <item h="1" x="8"/>
        <item h="1" x="4"/>
        <item h="1" x="16"/>
        <item h="1" x="25"/>
        <item t="default"/>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1"/>
  </rowFields>
  <rowItems count="14">
    <i>
      <x/>
    </i>
    <i>
      <x v="1"/>
    </i>
    <i>
      <x v="2"/>
    </i>
    <i>
      <x v="3"/>
    </i>
    <i>
      <x v="4"/>
    </i>
    <i>
      <x v="5"/>
    </i>
    <i>
      <x v="6"/>
    </i>
    <i>
      <x v="7"/>
    </i>
    <i>
      <x v="8"/>
    </i>
    <i>
      <x v="9"/>
    </i>
    <i>
      <x v="10"/>
    </i>
    <i>
      <x v="11"/>
    </i>
    <i>
      <x v="12"/>
    </i>
    <i t="grand">
      <x/>
    </i>
  </rowItems>
  <colFields count="2">
    <field x="29"/>
    <field x="-2"/>
  </colFields>
  <colItems count="4">
    <i>
      <x/>
      <x/>
    </i>
    <i r="1" i="1">
      <x v="1"/>
    </i>
    <i t="grand">
      <x/>
    </i>
    <i t="grand" i="1">
      <x/>
    </i>
  </colItems>
  <dataFields count="2">
    <dataField name="15 On Target %" fld="47" baseField="1" baseItem="0"/>
    <dataField name="Target 50%" fld="49" baseField="1" baseItem="0"/>
  </dataFields>
  <chartFormats count="78">
    <chartFormat chart="2" format="312" series="1">
      <pivotArea type="data" outline="0" fieldPosition="0">
        <references count="2">
          <reference field="4294967294" count="1" selected="0">
            <x v="0"/>
          </reference>
          <reference field="29" count="1" selected="0">
            <x v="0"/>
          </reference>
        </references>
      </pivotArea>
    </chartFormat>
    <chartFormat chart="2" format="313" series="1">
      <pivotArea type="data" outline="0" fieldPosition="0">
        <references count="2">
          <reference field="4294967294" count="1" selected="0">
            <x v="1"/>
          </reference>
          <reference field="29" count="1" selected="0">
            <x v="0"/>
          </reference>
        </references>
      </pivotArea>
    </chartFormat>
    <chartFormat chart="2" format="314" series="1">
      <pivotArea type="data" outline="0" fieldPosition="0">
        <references count="2">
          <reference field="4294967294" count="1" selected="0">
            <x v="0"/>
          </reference>
          <reference field="29" count="1" selected="0">
            <x v="1"/>
          </reference>
        </references>
      </pivotArea>
    </chartFormat>
    <chartFormat chart="2" format="315" series="1">
      <pivotArea type="data" outline="0" fieldPosition="0">
        <references count="2">
          <reference field="4294967294" count="1" selected="0">
            <x v="1"/>
          </reference>
          <reference field="29" count="1" selected="0">
            <x v="1"/>
          </reference>
        </references>
      </pivotArea>
    </chartFormat>
    <chartFormat chart="2" format="316" series="1">
      <pivotArea type="data" outline="0" fieldPosition="0">
        <references count="2">
          <reference field="4294967294" count="1" selected="0">
            <x v="0"/>
          </reference>
          <reference field="29" count="1" selected="0">
            <x v="2"/>
          </reference>
        </references>
      </pivotArea>
    </chartFormat>
    <chartFormat chart="2" format="317" series="1">
      <pivotArea type="data" outline="0" fieldPosition="0">
        <references count="2">
          <reference field="4294967294" count="1" selected="0">
            <x v="1"/>
          </reference>
          <reference field="29" count="1" selected="0">
            <x v="2"/>
          </reference>
        </references>
      </pivotArea>
    </chartFormat>
    <chartFormat chart="2" format="318" series="1">
      <pivotArea type="data" outline="0" fieldPosition="0">
        <references count="2">
          <reference field="4294967294" count="1" selected="0">
            <x v="0"/>
          </reference>
          <reference field="29" count="1" selected="0">
            <x v="3"/>
          </reference>
        </references>
      </pivotArea>
    </chartFormat>
    <chartFormat chart="2" format="319" series="1">
      <pivotArea type="data" outline="0" fieldPosition="0">
        <references count="2">
          <reference field="4294967294" count="1" selected="0">
            <x v="1"/>
          </reference>
          <reference field="29" count="1" selected="0">
            <x v="3"/>
          </reference>
        </references>
      </pivotArea>
    </chartFormat>
    <chartFormat chart="2" format="320" series="1">
      <pivotArea type="data" outline="0" fieldPosition="0">
        <references count="2">
          <reference field="4294967294" count="1" selected="0">
            <x v="0"/>
          </reference>
          <reference field="29" count="1" selected="0">
            <x v="4"/>
          </reference>
        </references>
      </pivotArea>
    </chartFormat>
    <chartFormat chart="2" format="321" series="1">
      <pivotArea type="data" outline="0" fieldPosition="0">
        <references count="2">
          <reference field="4294967294" count="1" selected="0">
            <x v="1"/>
          </reference>
          <reference field="29" count="1" selected="0">
            <x v="4"/>
          </reference>
        </references>
      </pivotArea>
    </chartFormat>
    <chartFormat chart="2" format="322" series="1">
      <pivotArea type="data" outline="0" fieldPosition="0">
        <references count="2">
          <reference field="4294967294" count="1" selected="0">
            <x v="0"/>
          </reference>
          <reference field="29" count="1" selected="0">
            <x v="5"/>
          </reference>
        </references>
      </pivotArea>
    </chartFormat>
    <chartFormat chart="2" format="323" series="1">
      <pivotArea type="data" outline="0" fieldPosition="0">
        <references count="2">
          <reference field="4294967294" count="1" selected="0">
            <x v="1"/>
          </reference>
          <reference field="29" count="1" selected="0">
            <x v="5"/>
          </reference>
        </references>
      </pivotArea>
    </chartFormat>
    <chartFormat chart="2" format="324" series="1">
      <pivotArea type="data" outline="0" fieldPosition="0">
        <references count="2">
          <reference field="4294967294" count="1" selected="0">
            <x v="0"/>
          </reference>
          <reference field="29" count="1" selected="0">
            <x v="6"/>
          </reference>
        </references>
      </pivotArea>
    </chartFormat>
    <chartFormat chart="2" format="325" series="1">
      <pivotArea type="data" outline="0" fieldPosition="0">
        <references count="2">
          <reference field="4294967294" count="1" selected="0">
            <x v="1"/>
          </reference>
          <reference field="29" count="1" selected="0">
            <x v="6"/>
          </reference>
        </references>
      </pivotArea>
    </chartFormat>
    <chartFormat chart="2" format="326" series="1">
      <pivotArea type="data" outline="0" fieldPosition="0">
        <references count="2">
          <reference field="4294967294" count="1" selected="0">
            <x v="0"/>
          </reference>
          <reference field="29" count="1" selected="0">
            <x v="7"/>
          </reference>
        </references>
      </pivotArea>
    </chartFormat>
    <chartFormat chart="2" format="327" series="1">
      <pivotArea type="data" outline="0" fieldPosition="0">
        <references count="2">
          <reference field="4294967294" count="1" selected="0">
            <x v="1"/>
          </reference>
          <reference field="29" count="1" selected="0">
            <x v="7"/>
          </reference>
        </references>
      </pivotArea>
    </chartFormat>
    <chartFormat chart="2" format="328" series="1">
      <pivotArea type="data" outline="0" fieldPosition="0">
        <references count="2">
          <reference field="4294967294" count="1" selected="0">
            <x v="0"/>
          </reference>
          <reference field="29" count="1" selected="0">
            <x v="8"/>
          </reference>
        </references>
      </pivotArea>
    </chartFormat>
    <chartFormat chart="2" format="329" series="1">
      <pivotArea type="data" outline="0" fieldPosition="0">
        <references count="2">
          <reference field="4294967294" count="1" selected="0">
            <x v="1"/>
          </reference>
          <reference field="29" count="1" selected="0">
            <x v="8"/>
          </reference>
        </references>
      </pivotArea>
    </chartFormat>
    <chartFormat chart="2" format="330" series="1">
      <pivotArea type="data" outline="0" fieldPosition="0">
        <references count="2">
          <reference field="4294967294" count="1" selected="0">
            <x v="0"/>
          </reference>
          <reference field="29" count="1" selected="0">
            <x v="9"/>
          </reference>
        </references>
      </pivotArea>
    </chartFormat>
    <chartFormat chart="2" format="331" series="1">
      <pivotArea type="data" outline="0" fieldPosition="0">
        <references count="2">
          <reference field="4294967294" count="1" selected="0">
            <x v="1"/>
          </reference>
          <reference field="29" count="1" selected="0">
            <x v="9"/>
          </reference>
        </references>
      </pivotArea>
    </chartFormat>
    <chartFormat chart="2" format="332" series="1">
      <pivotArea type="data" outline="0" fieldPosition="0">
        <references count="2">
          <reference field="4294967294" count="1" selected="0">
            <x v="0"/>
          </reference>
          <reference field="29" count="1" selected="0">
            <x v="10"/>
          </reference>
        </references>
      </pivotArea>
    </chartFormat>
    <chartFormat chart="2" format="333" series="1">
      <pivotArea type="data" outline="0" fieldPosition="0">
        <references count="2">
          <reference field="4294967294" count="1" selected="0">
            <x v="1"/>
          </reference>
          <reference field="29" count="1" selected="0">
            <x v="10"/>
          </reference>
        </references>
      </pivotArea>
    </chartFormat>
    <chartFormat chart="2" format="334" series="1">
      <pivotArea type="data" outline="0" fieldPosition="0">
        <references count="2">
          <reference field="4294967294" count="1" selected="0">
            <x v="0"/>
          </reference>
          <reference field="29" count="1" selected="0">
            <x v="11"/>
          </reference>
        </references>
      </pivotArea>
    </chartFormat>
    <chartFormat chart="2" format="335" series="1">
      <pivotArea type="data" outline="0" fieldPosition="0">
        <references count="2">
          <reference field="4294967294" count="1" selected="0">
            <x v="1"/>
          </reference>
          <reference field="29" count="1" selected="0">
            <x v="11"/>
          </reference>
        </references>
      </pivotArea>
    </chartFormat>
    <chartFormat chart="2" format="336" series="1">
      <pivotArea type="data" outline="0" fieldPosition="0">
        <references count="2">
          <reference field="4294967294" count="1" selected="0">
            <x v="0"/>
          </reference>
          <reference field="29" count="1" selected="0">
            <x v="12"/>
          </reference>
        </references>
      </pivotArea>
    </chartFormat>
    <chartFormat chart="2" format="337" series="1">
      <pivotArea type="data" outline="0" fieldPosition="0">
        <references count="2">
          <reference field="4294967294" count="1" selected="0">
            <x v="1"/>
          </reference>
          <reference field="29" count="1" selected="0">
            <x v="12"/>
          </reference>
        </references>
      </pivotArea>
    </chartFormat>
    <chartFormat chart="2" format="338" series="1">
      <pivotArea type="data" outline="0" fieldPosition="0">
        <references count="2">
          <reference field="4294967294" count="1" selected="0">
            <x v="0"/>
          </reference>
          <reference field="29" count="1" selected="0">
            <x v="13"/>
          </reference>
        </references>
      </pivotArea>
    </chartFormat>
    <chartFormat chart="2" format="339" series="1">
      <pivotArea type="data" outline="0" fieldPosition="0">
        <references count="2">
          <reference field="4294967294" count="1" selected="0">
            <x v="1"/>
          </reference>
          <reference field="29" count="1" selected="0">
            <x v="13"/>
          </reference>
        </references>
      </pivotArea>
    </chartFormat>
    <chartFormat chart="2" format="340" series="1">
      <pivotArea type="data" outline="0" fieldPosition="0">
        <references count="2">
          <reference field="4294967294" count="1" selected="0">
            <x v="0"/>
          </reference>
          <reference field="29" count="1" selected="0">
            <x v="14"/>
          </reference>
        </references>
      </pivotArea>
    </chartFormat>
    <chartFormat chart="2" format="341" series="1">
      <pivotArea type="data" outline="0" fieldPosition="0">
        <references count="2">
          <reference field="4294967294" count="1" selected="0">
            <x v="1"/>
          </reference>
          <reference field="29" count="1" selected="0">
            <x v="14"/>
          </reference>
        </references>
      </pivotArea>
    </chartFormat>
    <chartFormat chart="2" format="342" series="1">
      <pivotArea type="data" outline="0" fieldPosition="0">
        <references count="2">
          <reference field="4294967294" count="1" selected="0">
            <x v="0"/>
          </reference>
          <reference field="29" count="1" selected="0">
            <x v="15"/>
          </reference>
        </references>
      </pivotArea>
    </chartFormat>
    <chartFormat chart="2" format="343" series="1">
      <pivotArea type="data" outline="0" fieldPosition="0">
        <references count="2">
          <reference field="4294967294" count="1" selected="0">
            <x v="1"/>
          </reference>
          <reference field="29" count="1" selected="0">
            <x v="15"/>
          </reference>
        </references>
      </pivotArea>
    </chartFormat>
    <chartFormat chart="2" format="344" series="1">
      <pivotArea type="data" outline="0" fieldPosition="0">
        <references count="2">
          <reference field="4294967294" count="1" selected="0">
            <x v="0"/>
          </reference>
          <reference field="29" count="1" selected="0">
            <x v="16"/>
          </reference>
        </references>
      </pivotArea>
    </chartFormat>
    <chartFormat chart="2" format="345" series="1">
      <pivotArea type="data" outline="0" fieldPosition="0">
        <references count="2">
          <reference field="4294967294" count="1" selected="0">
            <x v="1"/>
          </reference>
          <reference field="29" count="1" selected="0">
            <x v="16"/>
          </reference>
        </references>
      </pivotArea>
    </chartFormat>
    <chartFormat chart="2" format="346" series="1">
      <pivotArea type="data" outline="0" fieldPosition="0">
        <references count="2">
          <reference field="4294967294" count="1" selected="0">
            <x v="0"/>
          </reference>
          <reference field="29" count="1" selected="0">
            <x v="17"/>
          </reference>
        </references>
      </pivotArea>
    </chartFormat>
    <chartFormat chart="2" format="347" series="1">
      <pivotArea type="data" outline="0" fieldPosition="0">
        <references count="2">
          <reference field="4294967294" count="1" selected="0">
            <x v="1"/>
          </reference>
          <reference field="29" count="1" selected="0">
            <x v="17"/>
          </reference>
        </references>
      </pivotArea>
    </chartFormat>
    <chartFormat chart="2" format="348" series="1">
      <pivotArea type="data" outline="0" fieldPosition="0">
        <references count="2">
          <reference field="4294967294" count="1" selected="0">
            <x v="0"/>
          </reference>
          <reference field="29" count="1" selected="0">
            <x v="18"/>
          </reference>
        </references>
      </pivotArea>
    </chartFormat>
    <chartFormat chart="2" format="349" series="1">
      <pivotArea type="data" outline="0" fieldPosition="0">
        <references count="2">
          <reference field="4294967294" count="1" selected="0">
            <x v="1"/>
          </reference>
          <reference field="29" count="1" selected="0">
            <x v="18"/>
          </reference>
        </references>
      </pivotArea>
    </chartFormat>
    <chartFormat chart="2" format="350" series="1">
      <pivotArea type="data" outline="0" fieldPosition="0">
        <references count="2">
          <reference field="4294967294" count="1" selected="0">
            <x v="0"/>
          </reference>
          <reference field="29" count="1" selected="0">
            <x v="19"/>
          </reference>
        </references>
      </pivotArea>
    </chartFormat>
    <chartFormat chart="2" format="351" series="1">
      <pivotArea type="data" outline="0" fieldPosition="0">
        <references count="2">
          <reference field="4294967294" count="1" selected="0">
            <x v="1"/>
          </reference>
          <reference field="29" count="1" selected="0">
            <x v="19"/>
          </reference>
        </references>
      </pivotArea>
    </chartFormat>
    <chartFormat chart="2" format="352" series="1">
      <pivotArea type="data" outline="0" fieldPosition="0">
        <references count="2">
          <reference field="4294967294" count="1" selected="0">
            <x v="0"/>
          </reference>
          <reference field="29" count="1" selected="0">
            <x v="20"/>
          </reference>
        </references>
      </pivotArea>
    </chartFormat>
    <chartFormat chart="2" format="353" series="1">
      <pivotArea type="data" outline="0" fieldPosition="0">
        <references count="2">
          <reference field="4294967294" count="1" selected="0">
            <x v="1"/>
          </reference>
          <reference field="29" count="1" selected="0">
            <x v="20"/>
          </reference>
        </references>
      </pivotArea>
    </chartFormat>
    <chartFormat chart="2" format="354" series="1">
      <pivotArea type="data" outline="0" fieldPosition="0">
        <references count="2">
          <reference field="4294967294" count="1" selected="0">
            <x v="0"/>
          </reference>
          <reference field="29" count="1" selected="0">
            <x v="21"/>
          </reference>
        </references>
      </pivotArea>
    </chartFormat>
    <chartFormat chart="2" format="355" series="1">
      <pivotArea type="data" outline="0" fieldPosition="0">
        <references count="2">
          <reference field="4294967294" count="1" selected="0">
            <x v="1"/>
          </reference>
          <reference field="29" count="1" selected="0">
            <x v="21"/>
          </reference>
        </references>
      </pivotArea>
    </chartFormat>
    <chartFormat chart="2" format="356" series="1">
      <pivotArea type="data" outline="0" fieldPosition="0">
        <references count="2">
          <reference field="4294967294" count="1" selected="0">
            <x v="0"/>
          </reference>
          <reference field="29" count="1" selected="0">
            <x v="22"/>
          </reference>
        </references>
      </pivotArea>
    </chartFormat>
    <chartFormat chart="2" format="357" series="1">
      <pivotArea type="data" outline="0" fieldPosition="0">
        <references count="2">
          <reference field="4294967294" count="1" selected="0">
            <x v="1"/>
          </reference>
          <reference field="29" count="1" selected="0">
            <x v="22"/>
          </reference>
        </references>
      </pivotArea>
    </chartFormat>
    <chartFormat chart="2" format="358" series="1">
      <pivotArea type="data" outline="0" fieldPosition="0">
        <references count="2">
          <reference field="4294967294" count="1" selected="0">
            <x v="0"/>
          </reference>
          <reference field="29" count="1" selected="0">
            <x v="23"/>
          </reference>
        </references>
      </pivotArea>
    </chartFormat>
    <chartFormat chart="2" format="359" series="1">
      <pivotArea type="data" outline="0" fieldPosition="0">
        <references count="2">
          <reference field="4294967294" count="1" selected="0">
            <x v="1"/>
          </reference>
          <reference field="29" count="1" selected="0">
            <x v="23"/>
          </reference>
        </references>
      </pivotArea>
    </chartFormat>
    <chartFormat chart="2" format="360" series="1">
      <pivotArea type="data" outline="0" fieldPosition="0">
        <references count="2">
          <reference field="4294967294" count="1" selected="0">
            <x v="0"/>
          </reference>
          <reference field="29" count="1" selected="0">
            <x v="24"/>
          </reference>
        </references>
      </pivotArea>
    </chartFormat>
    <chartFormat chart="2" format="361" series="1">
      <pivotArea type="data" outline="0" fieldPosition="0">
        <references count="2">
          <reference field="4294967294" count="1" selected="0">
            <x v="1"/>
          </reference>
          <reference field="29" count="1" selected="0">
            <x v="24"/>
          </reference>
        </references>
      </pivotArea>
    </chartFormat>
    <chartFormat chart="2" format="362" series="1">
      <pivotArea type="data" outline="0" fieldPosition="0">
        <references count="2">
          <reference field="4294967294" count="1" selected="0">
            <x v="0"/>
          </reference>
          <reference field="29" count="1" selected="0">
            <x v="25"/>
          </reference>
        </references>
      </pivotArea>
    </chartFormat>
    <chartFormat chart="2" format="363" series="1">
      <pivotArea type="data" outline="0" fieldPosition="0">
        <references count="2">
          <reference field="4294967294" count="1" selected="0">
            <x v="1"/>
          </reference>
          <reference field="29" count="1" selected="0">
            <x v="25"/>
          </reference>
        </references>
      </pivotArea>
    </chartFormat>
    <chartFormat chart="2" format="364" series="1">
      <pivotArea type="data" outline="0" fieldPosition="0">
        <references count="2">
          <reference field="4294967294" count="1" selected="0">
            <x v="0"/>
          </reference>
          <reference field="29" count="1" selected="0">
            <x v="26"/>
          </reference>
        </references>
      </pivotArea>
    </chartFormat>
    <chartFormat chart="2" format="365" series="1">
      <pivotArea type="data" outline="0" fieldPosition="0">
        <references count="2">
          <reference field="4294967294" count="1" selected="0">
            <x v="1"/>
          </reference>
          <reference field="29" count="1" selected="0">
            <x v="26"/>
          </reference>
        </references>
      </pivotArea>
    </chartFormat>
    <chartFormat chart="2" format="366" series="1">
      <pivotArea type="data" outline="0" fieldPosition="0">
        <references count="2">
          <reference field="4294967294" count="1" selected="0">
            <x v="0"/>
          </reference>
          <reference field="29" count="1" selected="0">
            <x v="27"/>
          </reference>
        </references>
      </pivotArea>
    </chartFormat>
    <chartFormat chart="2" format="367" series="1">
      <pivotArea type="data" outline="0" fieldPosition="0">
        <references count="2">
          <reference field="4294967294" count="1" selected="0">
            <x v="1"/>
          </reference>
          <reference field="29" count="1" selected="0">
            <x v="27"/>
          </reference>
        </references>
      </pivotArea>
    </chartFormat>
    <chartFormat chart="2" format="368" series="1">
      <pivotArea type="data" outline="0" fieldPosition="0">
        <references count="2">
          <reference field="4294967294" count="1" selected="0">
            <x v="0"/>
          </reference>
          <reference field="29" count="1" selected="0">
            <x v="28"/>
          </reference>
        </references>
      </pivotArea>
    </chartFormat>
    <chartFormat chart="2" format="369" series="1">
      <pivotArea type="data" outline="0" fieldPosition="0">
        <references count="2">
          <reference field="4294967294" count="1" selected="0">
            <x v="1"/>
          </reference>
          <reference field="29" count="1" selected="0">
            <x v="28"/>
          </reference>
        </references>
      </pivotArea>
    </chartFormat>
    <chartFormat chart="2" format="370" series="1">
      <pivotArea type="data" outline="0" fieldPosition="0">
        <references count="2">
          <reference field="4294967294" count="1" selected="0">
            <x v="0"/>
          </reference>
          <reference field="29" count="1" selected="0">
            <x v="29"/>
          </reference>
        </references>
      </pivotArea>
    </chartFormat>
    <chartFormat chart="2" format="371" series="1">
      <pivotArea type="data" outline="0" fieldPosition="0">
        <references count="2">
          <reference field="4294967294" count="1" selected="0">
            <x v="1"/>
          </reference>
          <reference field="29" count="1" selected="0">
            <x v="29"/>
          </reference>
        </references>
      </pivotArea>
    </chartFormat>
    <chartFormat chart="2" format="372" series="1">
      <pivotArea type="data" outline="0" fieldPosition="0">
        <references count="2">
          <reference field="4294967294" count="1" selected="0">
            <x v="0"/>
          </reference>
          <reference field="29" count="1" selected="0">
            <x v="30"/>
          </reference>
        </references>
      </pivotArea>
    </chartFormat>
    <chartFormat chart="2" format="373" series="1">
      <pivotArea type="data" outline="0" fieldPosition="0">
        <references count="2">
          <reference field="4294967294" count="1" selected="0">
            <x v="1"/>
          </reference>
          <reference field="29" count="1" selected="0">
            <x v="30"/>
          </reference>
        </references>
      </pivotArea>
    </chartFormat>
    <chartFormat chart="2" format="374" series="1">
      <pivotArea type="data" outline="0" fieldPosition="0">
        <references count="2">
          <reference field="4294967294" count="1" selected="0">
            <x v="0"/>
          </reference>
          <reference field="29" count="1" selected="0">
            <x v="31"/>
          </reference>
        </references>
      </pivotArea>
    </chartFormat>
    <chartFormat chart="2" format="375" series="1">
      <pivotArea type="data" outline="0" fieldPosition="0">
        <references count="2">
          <reference field="4294967294" count="1" selected="0">
            <x v="1"/>
          </reference>
          <reference field="29" count="1" selected="0">
            <x v="31"/>
          </reference>
        </references>
      </pivotArea>
    </chartFormat>
    <chartFormat chart="2" format="376" series="1">
      <pivotArea type="data" outline="0" fieldPosition="0">
        <references count="2">
          <reference field="4294967294" count="1" selected="0">
            <x v="0"/>
          </reference>
          <reference field="29" count="1" selected="0">
            <x v="32"/>
          </reference>
        </references>
      </pivotArea>
    </chartFormat>
    <chartFormat chart="2" format="377" series="1">
      <pivotArea type="data" outline="0" fieldPosition="0">
        <references count="2">
          <reference field="4294967294" count="1" selected="0">
            <x v="1"/>
          </reference>
          <reference field="29" count="1" selected="0">
            <x v="32"/>
          </reference>
        </references>
      </pivotArea>
    </chartFormat>
    <chartFormat chart="2" format="378" series="1">
      <pivotArea type="data" outline="0" fieldPosition="0">
        <references count="2">
          <reference field="4294967294" count="1" selected="0">
            <x v="0"/>
          </reference>
          <reference field="29" count="1" selected="0">
            <x v="33"/>
          </reference>
        </references>
      </pivotArea>
    </chartFormat>
    <chartFormat chart="2" format="379" series="1">
      <pivotArea type="data" outline="0" fieldPosition="0">
        <references count="2">
          <reference field="4294967294" count="1" selected="0">
            <x v="1"/>
          </reference>
          <reference field="29" count="1" selected="0">
            <x v="33"/>
          </reference>
        </references>
      </pivotArea>
    </chartFormat>
    <chartFormat chart="2" format="380" series="1">
      <pivotArea type="data" outline="0" fieldPosition="0">
        <references count="2">
          <reference field="4294967294" count="1" selected="0">
            <x v="0"/>
          </reference>
          <reference field="29" count="1" selected="0">
            <x v="34"/>
          </reference>
        </references>
      </pivotArea>
    </chartFormat>
    <chartFormat chart="2" format="381" series="1">
      <pivotArea type="data" outline="0" fieldPosition="0">
        <references count="2">
          <reference field="4294967294" count="1" selected="0">
            <x v="1"/>
          </reference>
          <reference field="29" count="1" selected="0">
            <x v="34"/>
          </reference>
        </references>
      </pivotArea>
    </chartFormat>
    <chartFormat chart="2" format="382" series="1">
      <pivotArea type="data" outline="0" fieldPosition="0">
        <references count="2">
          <reference field="4294967294" count="1" selected="0">
            <x v="0"/>
          </reference>
          <reference field="29" count="1" selected="0">
            <x v="35"/>
          </reference>
        </references>
      </pivotArea>
    </chartFormat>
    <chartFormat chart="2" format="383" series="1">
      <pivotArea type="data" outline="0" fieldPosition="0">
        <references count="2">
          <reference field="4294967294" count="1" selected="0">
            <x v="1"/>
          </reference>
          <reference field="29" count="1" selected="0">
            <x v="35"/>
          </reference>
        </references>
      </pivotArea>
    </chartFormat>
    <chartFormat chart="2" format="384" series="1">
      <pivotArea type="data" outline="0" fieldPosition="0">
        <references count="2">
          <reference field="4294967294" count="1" selected="0">
            <x v="0"/>
          </reference>
          <reference field="29" count="1" selected="0">
            <x v="36"/>
          </reference>
        </references>
      </pivotArea>
    </chartFormat>
    <chartFormat chart="2" format="385" series="1">
      <pivotArea type="data" outline="0" fieldPosition="0">
        <references count="2">
          <reference field="4294967294" count="1" selected="0">
            <x v="1"/>
          </reference>
          <reference field="29" count="1" selected="0">
            <x v="36"/>
          </reference>
        </references>
      </pivotArea>
    </chartFormat>
    <chartFormat chart="2" format="386" series="1">
      <pivotArea type="data" outline="0" fieldPosition="0">
        <references count="2">
          <reference field="4294967294" count="1" selected="0">
            <x v="0"/>
          </reference>
          <reference field="29" count="1" selected="0">
            <x v="37"/>
          </reference>
        </references>
      </pivotArea>
    </chartFormat>
    <chartFormat chart="2" format="387" series="1">
      <pivotArea type="data" outline="0" fieldPosition="0">
        <references count="2">
          <reference field="4294967294" count="1" selected="0">
            <x v="1"/>
          </reference>
          <reference field="29" count="1" selected="0">
            <x v="37"/>
          </reference>
        </references>
      </pivotArea>
    </chartFormat>
    <chartFormat chart="2" format="388" series="1">
      <pivotArea type="data" outline="0" fieldPosition="0">
        <references count="2">
          <reference field="4294967294" count="1" selected="0">
            <x v="0"/>
          </reference>
          <reference field="29" count="1" selected="0">
            <x v="38"/>
          </reference>
        </references>
      </pivotArea>
    </chartFormat>
    <chartFormat chart="2" format="389" series="1">
      <pivotArea type="data" outline="0" fieldPosition="0">
        <references count="2">
          <reference field="4294967294" count="1" selected="0">
            <x v="1"/>
          </reference>
          <reference field="29" count="1" selected="0">
            <x v="38"/>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1.xml><?xml version="1.0" encoding="utf-8"?>
<pivotTableDefinition xmlns="http://schemas.openxmlformats.org/spreadsheetml/2006/main" xmlns:mc="http://schemas.openxmlformats.org/markup-compatibility/2006" xmlns:xr="http://schemas.microsoft.com/office/spreadsheetml/2014/revision" mc:Ignorable="xr" xr:uid="{5F29FEBE-CDB5-4F9B-9168-301A88B0409C}" name="PivotTable2" cacheId="2024"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chartFormat="3">
  <location ref="B36:F52" firstHeaderRow="1" firstDataRow="3" firstDataCol="1"/>
  <pivotFields count="54">
    <pivotField showAll="0"/>
    <pivotField axis="axisRow" numFmtId="14" showAll="0">
      <items count="14">
        <item x="7"/>
        <item x="8"/>
        <item x="9"/>
        <item x="10"/>
        <item x="11"/>
        <item x="12"/>
        <item x="0"/>
        <item x="1"/>
        <item x="2"/>
        <item x="3"/>
        <item x="4"/>
        <item x="5"/>
        <item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showAll="0">
      <items count="40">
        <item x="12"/>
        <item h="1" x="5"/>
        <item h="1" x="6"/>
        <item h="1" x="19"/>
        <item h="1" x="37"/>
        <item h="1" x="24"/>
        <item h="1" x="35"/>
        <item h="1" x="17"/>
        <item h="1" x="23"/>
        <item h="1" x="2"/>
        <item h="1" x="31"/>
        <item h="1" x="21"/>
        <item h="1" x="15"/>
        <item h="1" x="36"/>
        <item h="1" x="0"/>
        <item h="1" x="13"/>
        <item h="1" x="29"/>
        <item h="1" x="32"/>
        <item h="1" x="33"/>
        <item h="1" x="27"/>
        <item h="1" x="3"/>
        <item h="1" x="38"/>
        <item h="1" x="26"/>
        <item h="1" x="22"/>
        <item h="1" x="20"/>
        <item h="1" x="9"/>
        <item h="1" x="7"/>
        <item h="1" x="11"/>
        <item h="1" x="14"/>
        <item h="1" x="10"/>
        <item h="1" x="30"/>
        <item h="1" x="1"/>
        <item h="1" x="28"/>
        <item h="1" x="34"/>
        <item h="1" x="18"/>
        <item h="1" x="8"/>
        <item h="1" x="4"/>
        <item h="1" x="16"/>
        <item h="1" x="25"/>
        <item t="default"/>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1"/>
  </rowFields>
  <rowItems count="14">
    <i>
      <x/>
    </i>
    <i>
      <x v="1"/>
    </i>
    <i>
      <x v="2"/>
    </i>
    <i>
      <x v="3"/>
    </i>
    <i>
      <x v="4"/>
    </i>
    <i>
      <x v="5"/>
    </i>
    <i>
      <x v="6"/>
    </i>
    <i>
      <x v="7"/>
    </i>
    <i>
      <x v="8"/>
    </i>
    <i>
      <x v="9"/>
    </i>
    <i>
      <x v="10"/>
    </i>
    <i>
      <x v="11"/>
    </i>
    <i>
      <x v="12"/>
    </i>
    <i t="grand">
      <x/>
    </i>
  </rowItems>
  <colFields count="2">
    <field x="29"/>
    <field x="-2"/>
  </colFields>
  <colItems count="4">
    <i>
      <x/>
      <x/>
    </i>
    <i r="1" i="1">
      <x v="1"/>
    </i>
    <i t="grand">
      <x/>
    </i>
    <i t="grand" i="1">
      <x/>
    </i>
  </colItems>
  <dataFields count="2">
    <dataField name="12 Off Target  %" fld="48" baseField="1" baseItem="0"/>
    <dataField name="Target 25%" fld="50" baseField="1" baseItem="0"/>
  </dataFields>
  <chartFormats count="2">
    <chartFormat chart="2" format="160" series="1">
      <pivotArea type="data" outline="0" fieldPosition="0">
        <references count="2">
          <reference field="4294967294" count="1" selected="0">
            <x v="0"/>
          </reference>
          <reference field="29" count="1" selected="0">
            <x v="0"/>
          </reference>
        </references>
      </pivotArea>
    </chartFormat>
    <chartFormat chart="2" format="162" series="1">
      <pivotArea type="data" outline="0" fieldPosition="0">
        <references count="2">
          <reference field="4294967294" count="1" selected="0">
            <x v="1"/>
          </reference>
          <reference field="29"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2.xml><?xml version="1.0" encoding="utf-8"?>
<pivotTableDefinition xmlns="http://schemas.openxmlformats.org/spreadsheetml/2006/main" xmlns:mc="http://schemas.openxmlformats.org/markup-compatibility/2006" xmlns:xr="http://schemas.microsoft.com/office/spreadsheetml/2014/revision" mc:Ignorable="xr" xr:uid="{5E247D0E-0EC2-420B-A293-5766E895369D}" name="PivotTable3" cacheId="2024"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chartFormat="3">
  <location ref="B3:F19" firstHeaderRow="1" firstDataRow="3" firstDataCol="1"/>
  <pivotFields count="54">
    <pivotField showAll="0"/>
    <pivotField axis="axisRow" numFmtId="14" showAll="0">
      <items count="14">
        <item x="7"/>
        <item x="8"/>
        <item x="9"/>
        <item x="10"/>
        <item x="11"/>
        <item x="12"/>
        <item x="0"/>
        <item x="1"/>
        <item x="2"/>
        <item x="3"/>
        <item x="4"/>
        <item x="5"/>
        <item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showAll="0">
      <items count="40">
        <item x="12"/>
        <item h="1" x="5"/>
        <item h="1" x="6"/>
        <item h="1" x="19"/>
        <item h="1" x="37"/>
        <item h="1" x="24"/>
        <item h="1" x="35"/>
        <item h="1" x="17"/>
        <item h="1" x="23"/>
        <item h="1" x="2"/>
        <item h="1" x="31"/>
        <item h="1" x="21"/>
        <item h="1" x="15"/>
        <item h="1" x="36"/>
        <item h="1" x="0"/>
        <item h="1" x="13"/>
        <item h="1" x="29"/>
        <item h="1" x="32"/>
        <item h="1" x="33"/>
        <item h="1" x="27"/>
        <item h="1" x="3"/>
        <item h="1" x="38"/>
        <item h="1" x="26"/>
        <item h="1" x="22"/>
        <item h="1" x="20"/>
        <item h="1" x="9"/>
        <item h="1" x="7"/>
        <item h="1" x="11"/>
        <item h="1" x="14"/>
        <item h="1" x="10"/>
        <item h="1" x="30"/>
        <item h="1" x="1"/>
        <item h="1" x="28"/>
        <item h="1" x="34"/>
        <item h="1" x="18"/>
        <item h="1" x="8"/>
        <item h="1" x="4"/>
        <item h="1" x="16"/>
        <item h="1" x="25"/>
        <item t="default"/>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s>
  <rowFields count="1">
    <field x="1"/>
  </rowFields>
  <rowItems count="14">
    <i>
      <x/>
    </i>
    <i>
      <x v="1"/>
    </i>
    <i>
      <x v="2"/>
    </i>
    <i>
      <x v="3"/>
    </i>
    <i>
      <x v="4"/>
    </i>
    <i>
      <x v="5"/>
    </i>
    <i>
      <x v="6"/>
    </i>
    <i>
      <x v="7"/>
    </i>
    <i>
      <x v="8"/>
    </i>
    <i>
      <x v="9"/>
    </i>
    <i>
      <x v="10"/>
    </i>
    <i>
      <x v="11"/>
    </i>
    <i>
      <x v="12"/>
    </i>
    <i t="grand">
      <x/>
    </i>
  </rowItems>
  <colFields count="2">
    <field x="29"/>
    <field x="-2"/>
  </colFields>
  <colItems count="4">
    <i>
      <x/>
      <x/>
    </i>
    <i r="1" i="1">
      <x v="1"/>
    </i>
    <i t="grand">
      <x/>
    </i>
    <i t="grand" i="1">
      <x/>
    </i>
  </colItems>
  <dataFields count="2">
    <dataField name="CHD  %" fld="51" baseField="1" baseItem="1"/>
    <dataField name="Target 49%" fld="52" baseField="1" baseItem="1"/>
  </dataFields>
  <chartFormats count="78">
    <chartFormat chart="2" format="312" series="1">
      <pivotArea type="data" outline="0" fieldPosition="0">
        <references count="2">
          <reference field="4294967294" count="1" selected="0">
            <x v="0"/>
          </reference>
          <reference field="29" count="1" selected="0">
            <x v="0"/>
          </reference>
        </references>
      </pivotArea>
    </chartFormat>
    <chartFormat chart="2" format="313" series="1">
      <pivotArea type="data" outline="0" fieldPosition="0">
        <references count="2">
          <reference field="4294967294" count="1" selected="0">
            <x v="1"/>
          </reference>
          <reference field="29" count="1" selected="0">
            <x v="0"/>
          </reference>
        </references>
      </pivotArea>
    </chartFormat>
    <chartFormat chart="2" format="314" series="1">
      <pivotArea type="data" outline="0" fieldPosition="0">
        <references count="2">
          <reference field="4294967294" count="1" selected="0">
            <x v="0"/>
          </reference>
          <reference field="29" count="1" selected="0">
            <x v="1"/>
          </reference>
        </references>
      </pivotArea>
    </chartFormat>
    <chartFormat chart="2" format="315" series="1">
      <pivotArea type="data" outline="0" fieldPosition="0">
        <references count="2">
          <reference field="4294967294" count="1" selected="0">
            <x v="1"/>
          </reference>
          <reference field="29" count="1" selected="0">
            <x v="1"/>
          </reference>
        </references>
      </pivotArea>
    </chartFormat>
    <chartFormat chart="2" format="316" series="1">
      <pivotArea type="data" outline="0" fieldPosition="0">
        <references count="2">
          <reference field="4294967294" count="1" selected="0">
            <x v="0"/>
          </reference>
          <reference field="29" count="1" selected="0">
            <x v="2"/>
          </reference>
        </references>
      </pivotArea>
    </chartFormat>
    <chartFormat chart="2" format="317" series="1">
      <pivotArea type="data" outline="0" fieldPosition="0">
        <references count="2">
          <reference field="4294967294" count="1" selected="0">
            <x v="1"/>
          </reference>
          <reference field="29" count="1" selected="0">
            <x v="2"/>
          </reference>
        </references>
      </pivotArea>
    </chartFormat>
    <chartFormat chart="2" format="318" series="1">
      <pivotArea type="data" outline="0" fieldPosition="0">
        <references count="2">
          <reference field="4294967294" count="1" selected="0">
            <x v="0"/>
          </reference>
          <reference field="29" count="1" selected="0">
            <x v="3"/>
          </reference>
        </references>
      </pivotArea>
    </chartFormat>
    <chartFormat chart="2" format="319" series="1">
      <pivotArea type="data" outline="0" fieldPosition="0">
        <references count="2">
          <reference field="4294967294" count="1" selected="0">
            <x v="1"/>
          </reference>
          <reference field="29" count="1" selected="0">
            <x v="3"/>
          </reference>
        </references>
      </pivotArea>
    </chartFormat>
    <chartFormat chart="2" format="320" series="1">
      <pivotArea type="data" outline="0" fieldPosition="0">
        <references count="2">
          <reference field="4294967294" count="1" selected="0">
            <x v="0"/>
          </reference>
          <reference field="29" count="1" selected="0">
            <x v="4"/>
          </reference>
        </references>
      </pivotArea>
    </chartFormat>
    <chartFormat chart="2" format="321" series="1">
      <pivotArea type="data" outline="0" fieldPosition="0">
        <references count="2">
          <reference field="4294967294" count="1" selected="0">
            <x v="1"/>
          </reference>
          <reference field="29" count="1" selected="0">
            <x v="4"/>
          </reference>
        </references>
      </pivotArea>
    </chartFormat>
    <chartFormat chart="2" format="322" series="1">
      <pivotArea type="data" outline="0" fieldPosition="0">
        <references count="2">
          <reference field="4294967294" count="1" selected="0">
            <x v="0"/>
          </reference>
          <reference field="29" count="1" selected="0">
            <x v="5"/>
          </reference>
        </references>
      </pivotArea>
    </chartFormat>
    <chartFormat chart="2" format="323" series="1">
      <pivotArea type="data" outline="0" fieldPosition="0">
        <references count="2">
          <reference field="4294967294" count="1" selected="0">
            <x v="1"/>
          </reference>
          <reference field="29" count="1" selected="0">
            <x v="5"/>
          </reference>
        </references>
      </pivotArea>
    </chartFormat>
    <chartFormat chart="2" format="324" series="1">
      <pivotArea type="data" outline="0" fieldPosition="0">
        <references count="2">
          <reference field="4294967294" count="1" selected="0">
            <x v="0"/>
          </reference>
          <reference field="29" count="1" selected="0">
            <x v="6"/>
          </reference>
        </references>
      </pivotArea>
    </chartFormat>
    <chartFormat chart="2" format="325" series="1">
      <pivotArea type="data" outline="0" fieldPosition="0">
        <references count="2">
          <reference field="4294967294" count="1" selected="0">
            <x v="1"/>
          </reference>
          <reference field="29" count="1" selected="0">
            <x v="6"/>
          </reference>
        </references>
      </pivotArea>
    </chartFormat>
    <chartFormat chart="2" format="326" series="1">
      <pivotArea type="data" outline="0" fieldPosition="0">
        <references count="2">
          <reference field="4294967294" count="1" selected="0">
            <x v="0"/>
          </reference>
          <reference field="29" count="1" selected="0">
            <x v="7"/>
          </reference>
        </references>
      </pivotArea>
    </chartFormat>
    <chartFormat chart="2" format="327" series="1">
      <pivotArea type="data" outline="0" fieldPosition="0">
        <references count="2">
          <reference field="4294967294" count="1" selected="0">
            <x v="1"/>
          </reference>
          <reference field="29" count="1" selected="0">
            <x v="7"/>
          </reference>
        </references>
      </pivotArea>
    </chartFormat>
    <chartFormat chart="2" format="328" series="1">
      <pivotArea type="data" outline="0" fieldPosition="0">
        <references count="2">
          <reference field="4294967294" count="1" selected="0">
            <x v="0"/>
          </reference>
          <reference field="29" count="1" selected="0">
            <x v="8"/>
          </reference>
        </references>
      </pivotArea>
    </chartFormat>
    <chartFormat chart="2" format="329" series="1">
      <pivotArea type="data" outline="0" fieldPosition="0">
        <references count="2">
          <reference field="4294967294" count="1" selected="0">
            <x v="1"/>
          </reference>
          <reference field="29" count="1" selected="0">
            <x v="8"/>
          </reference>
        </references>
      </pivotArea>
    </chartFormat>
    <chartFormat chart="2" format="330" series="1">
      <pivotArea type="data" outline="0" fieldPosition="0">
        <references count="2">
          <reference field="4294967294" count="1" selected="0">
            <x v="0"/>
          </reference>
          <reference field="29" count="1" selected="0">
            <x v="9"/>
          </reference>
        </references>
      </pivotArea>
    </chartFormat>
    <chartFormat chart="2" format="331" series="1">
      <pivotArea type="data" outline="0" fieldPosition="0">
        <references count="2">
          <reference field="4294967294" count="1" selected="0">
            <x v="1"/>
          </reference>
          <reference field="29" count="1" selected="0">
            <x v="9"/>
          </reference>
        </references>
      </pivotArea>
    </chartFormat>
    <chartFormat chart="2" format="332" series="1">
      <pivotArea type="data" outline="0" fieldPosition="0">
        <references count="2">
          <reference field="4294967294" count="1" selected="0">
            <x v="0"/>
          </reference>
          <reference field="29" count="1" selected="0">
            <x v="10"/>
          </reference>
        </references>
      </pivotArea>
    </chartFormat>
    <chartFormat chart="2" format="333" series="1">
      <pivotArea type="data" outline="0" fieldPosition="0">
        <references count="2">
          <reference field="4294967294" count="1" selected="0">
            <x v="1"/>
          </reference>
          <reference field="29" count="1" selected="0">
            <x v="10"/>
          </reference>
        </references>
      </pivotArea>
    </chartFormat>
    <chartFormat chart="2" format="334" series="1">
      <pivotArea type="data" outline="0" fieldPosition="0">
        <references count="2">
          <reference field="4294967294" count="1" selected="0">
            <x v="0"/>
          </reference>
          <reference field="29" count="1" selected="0">
            <x v="11"/>
          </reference>
        </references>
      </pivotArea>
    </chartFormat>
    <chartFormat chart="2" format="335" series="1">
      <pivotArea type="data" outline="0" fieldPosition="0">
        <references count="2">
          <reference field="4294967294" count="1" selected="0">
            <x v="1"/>
          </reference>
          <reference field="29" count="1" selected="0">
            <x v="11"/>
          </reference>
        </references>
      </pivotArea>
    </chartFormat>
    <chartFormat chart="2" format="336" series="1">
      <pivotArea type="data" outline="0" fieldPosition="0">
        <references count="2">
          <reference field="4294967294" count="1" selected="0">
            <x v="0"/>
          </reference>
          <reference field="29" count="1" selected="0">
            <x v="12"/>
          </reference>
        </references>
      </pivotArea>
    </chartFormat>
    <chartFormat chart="2" format="337" series="1">
      <pivotArea type="data" outline="0" fieldPosition="0">
        <references count="2">
          <reference field="4294967294" count="1" selected="0">
            <x v="1"/>
          </reference>
          <reference field="29" count="1" selected="0">
            <x v="12"/>
          </reference>
        </references>
      </pivotArea>
    </chartFormat>
    <chartFormat chart="2" format="338" series="1">
      <pivotArea type="data" outline="0" fieldPosition="0">
        <references count="2">
          <reference field="4294967294" count="1" selected="0">
            <x v="0"/>
          </reference>
          <reference field="29" count="1" selected="0">
            <x v="13"/>
          </reference>
        </references>
      </pivotArea>
    </chartFormat>
    <chartFormat chart="2" format="339" series="1">
      <pivotArea type="data" outline="0" fieldPosition="0">
        <references count="2">
          <reference field="4294967294" count="1" selected="0">
            <x v="1"/>
          </reference>
          <reference field="29" count="1" selected="0">
            <x v="13"/>
          </reference>
        </references>
      </pivotArea>
    </chartFormat>
    <chartFormat chart="2" format="340" series="1">
      <pivotArea type="data" outline="0" fieldPosition="0">
        <references count="2">
          <reference field="4294967294" count="1" selected="0">
            <x v="0"/>
          </reference>
          <reference field="29" count="1" selected="0">
            <x v="14"/>
          </reference>
        </references>
      </pivotArea>
    </chartFormat>
    <chartFormat chart="2" format="341" series="1">
      <pivotArea type="data" outline="0" fieldPosition="0">
        <references count="2">
          <reference field="4294967294" count="1" selected="0">
            <x v="1"/>
          </reference>
          <reference field="29" count="1" selected="0">
            <x v="14"/>
          </reference>
        </references>
      </pivotArea>
    </chartFormat>
    <chartFormat chart="2" format="342" series="1">
      <pivotArea type="data" outline="0" fieldPosition="0">
        <references count="2">
          <reference field="4294967294" count="1" selected="0">
            <x v="0"/>
          </reference>
          <reference field="29" count="1" selected="0">
            <x v="15"/>
          </reference>
        </references>
      </pivotArea>
    </chartFormat>
    <chartFormat chart="2" format="343" series="1">
      <pivotArea type="data" outline="0" fieldPosition="0">
        <references count="2">
          <reference field="4294967294" count="1" selected="0">
            <x v="1"/>
          </reference>
          <reference field="29" count="1" selected="0">
            <x v="15"/>
          </reference>
        </references>
      </pivotArea>
    </chartFormat>
    <chartFormat chart="2" format="344" series="1">
      <pivotArea type="data" outline="0" fieldPosition="0">
        <references count="2">
          <reference field="4294967294" count="1" selected="0">
            <x v="0"/>
          </reference>
          <reference field="29" count="1" selected="0">
            <x v="16"/>
          </reference>
        </references>
      </pivotArea>
    </chartFormat>
    <chartFormat chart="2" format="345" series="1">
      <pivotArea type="data" outline="0" fieldPosition="0">
        <references count="2">
          <reference field="4294967294" count="1" selected="0">
            <x v="1"/>
          </reference>
          <reference field="29" count="1" selected="0">
            <x v="16"/>
          </reference>
        </references>
      </pivotArea>
    </chartFormat>
    <chartFormat chart="2" format="346" series="1">
      <pivotArea type="data" outline="0" fieldPosition="0">
        <references count="2">
          <reference field="4294967294" count="1" selected="0">
            <x v="0"/>
          </reference>
          <reference field="29" count="1" selected="0">
            <x v="17"/>
          </reference>
        </references>
      </pivotArea>
    </chartFormat>
    <chartFormat chart="2" format="347" series="1">
      <pivotArea type="data" outline="0" fieldPosition="0">
        <references count="2">
          <reference field="4294967294" count="1" selected="0">
            <x v="1"/>
          </reference>
          <reference field="29" count="1" selected="0">
            <x v="17"/>
          </reference>
        </references>
      </pivotArea>
    </chartFormat>
    <chartFormat chart="2" format="348" series="1">
      <pivotArea type="data" outline="0" fieldPosition="0">
        <references count="2">
          <reference field="4294967294" count="1" selected="0">
            <x v="0"/>
          </reference>
          <reference field="29" count="1" selected="0">
            <x v="18"/>
          </reference>
        </references>
      </pivotArea>
    </chartFormat>
    <chartFormat chart="2" format="349" series="1">
      <pivotArea type="data" outline="0" fieldPosition="0">
        <references count="2">
          <reference field="4294967294" count="1" selected="0">
            <x v="1"/>
          </reference>
          <reference field="29" count="1" selected="0">
            <x v="18"/>
          </reference>
        </references>
      </pivotArea>
    </chartFormat>
    <chartFormat chart="2" format="350" series="1">
      <pivotArea type="data" outline="0" fieldPosition="0">
        <references count="2">
          <reference field="4294967294" count="1" selected="0">
            <x v="0"/>
          </reference>
          <reference field="29" count="1" selected="0">
            <x v="19"/>
          </reference>
        </references>
      </pivotArea>
    </chartFormat>
    <chartFormat chart="2" format="351" series="1">
      <pivotArea type="data" outline="0" fieldPosition="0">
        <references count="2">
          <reference field="4294967294" count="1" selected="0">
            <x v="1"/>
          </reference>
          <reference field="29" count="1" selected="0">
            <x v="19"/>
          </reference>
        </references>
      </pivotArea>
    </chartFormat>
    <chartFormat chart="2" format="352" series="1">
      <pivotArea type="data" outline="0" fieldPosition="0">
        <references count="2">
          <reference field="4294967294" count="1" selected="0">
            <x v="0"/>
          </reference>
          <reference field="29" count="1" selected="0">
            <x v="20"/>
          </reference>
        </references>
      </pivotArea>
    </chartFormat>
    <chartFormat chart="2" format="353" series="1">
      <pivotArea type="data" outline="0" fieldPosition="0">
        <references count="2">
          <reference field="4294967294" count="1" selected="0">
            <x v="1"/>
          </reference>
          <reference field="29" count="1" selected="0">
            <x v="20"/>
          </reference>
        </references>
      </pivotArea>
    </chartFormat>
    <chartFormat chart="2" format="354" series="1">
      <pivotArea type="data" outline="0" fieldPosition="0">
        <references count="2">
          <reference field="4294967294" count="1" selected="0">
            <x v="0"/>
          </reference>
          <reference field="29" count="1" selected="0">
            <x v="21"/>
          </reference>
        </references>
      </pivotArea>
    </chartFormat>
    <chartFormat chart="2" format="355" series="1">
      <pivotArea type="data" outline="0" fieldPosition="0">
        <references count="2">
          <reference field="4294967294" count="1" selected="0">
            <x v="1"/>
          </reference>
          <reference field="29" count="1" selected="0">
            <x v="21"/>
          </reference>
        </references>
      </pivotArea>
    </chartFormat>
    <chartFormat chart="2" format="356" series="1">
      <pivotArea type="data" outline="0" fieldPosition="0">
        <references count="2">
          <reference field="4294967294" count="1" selected="0">
            <x v="0"/>
          </reference>
          <reference field="29" count="1" selected="0">
            <x v="22"/>
          </reference>
        </references>
      </pivotArea>
    </chartFormat>
    <chartFormat chart="2" format="357" series="1">
      <pivotArea type="data" outline="0" fieldPosition="0">
        <references count="2">
          <reference field="4294967294" count="1" selected="0">
            <x v="1"/>
          </reference>
          <reference field="29" count="1" selected="0">
            <x v="22"/>
          </reference>
        </references>
      </pivotArea>
    </chartFormat>
    <chartFormat chart="2" format="358" series="1">
      <pivotArea type="data" outline="0" fieldPosition="0">
        <references count="2">
          <reference field="4294967294" count="1" selected="0">
            <x v="0"/>
          </reference>
          <reference field="29" count="1" selected="0">
            <x v="23"/>
          </reference>
        </references>
      </pivotArea>
    </chartFormat>
    <chartFormat chart="2" format="359" series="1">
      <pivotArea type="data" outline="0" fieldPosition="0">
        <references count="2">
          <reference field="4294967294" count="1" selected="0">
            <x v="1"/>
          </reference>
          <reference field="29" count="1" selected="0">
            <x v="23"/>
          </reference>
        </references>
      </pivotArea>
    </chartFormat>
    <chartFormat chart="2" format="360" series="1">
      <pivotArea type="data" outline="0" fieldPosition="0">
        <references count="2">
          <reference field="4294967294" count="1" selected="0">
            <x v="0"/>
          </reference>
          <reference field="29" count="1" selected="0">
            <x v="24"/>
          </reference>
        </references>
      </pivotArea>
    </chartFormat>
    <chartFormat chart="2" format="361" series="1">
      <pivotArea type="data" outline="0" fieldPosition="0">
        <references count="2">
          <reference field="4294967294" count="1" selected="0">
            <x v="1"/>
          </reference>
          <reference field="29" count="1" selected="0">
            <x v="24"/>
          </reference>
        </references>
      </pivotArea>
    </chartFormat>
    <chartFormat chart="2" format="362" series="1">
      <pivotArea type="data" outline="0" fieldPosition="0">
        <references count="2">
          <reference field="4294967294" count="1" selected="0">
            <x v="0"/>
          </reference>
          <reference field="29" count="1" selected="0">
            <x v="25"/>
          </reference>
        </references>
      </pivotArea>
    </chartFormat>
    <chartFormat chart="2" format="363" series="1">
      <pivotArea type="data" outline="0" fieldPosition="0">
        <references count="2">
          <reference field="4294967294" count="1" selected="0">
            <x v="1"/>
          </reference>
          <reference field="29" count="1" selected="0">
            <x v="25"/>
          </reference>
        </references>
      </pivotArea>
    </chartFormat>
    <chartFormat chart="2" format="364" series="1">
      <pivotArea type="data" outline="0" fieldPosition="0">
        <references count="2">
          <reference field="4294967294" count="1" selected="0">
            <x v="0"/>
          </reference>
          <reference field="29" count="1" selected="0">
            <x v="26"/>
          </reference>
        </references>
      </pivotArea>
    </chartFormat>
    <chartFormat chart="2" format="365" series="1">
      <pivotArea type="data" outline="0" fieldPosition="0">
        <references count="2">
          <reference field="4294967294" count="1" selected="0">
            <x v="1"/>
          </reference>
          <reference field="29" count="1" selected="0">
            <x v="26"/>
          </reference>
        </references>
      </pivotArea>
    </chartFormat>
    <chartFormat chart="2" format="366" series="1">
      <pivotArea type="data" outline="0" fieldPosition="0">
        <references count="2">
          <reference field="4294967294" count="1" selected="0">
            <x v="0"/>
          </reference>
          <reference field="29" count="1" selected="0">
            <x v="27"/>
          </reference>
        </references>
      </pivotArea>
    </chartFormat>
    <chartFormat chart="2" format="367" series="1">
      <pivotArea type="data" outline="0" fieldPosition="0">
        <references count="2">
          <reference field="4294967294" count="1" selected="0">
            <x v="1"/>
          </reference>
          <reference field="29" count="1" selected="0">
            <x v="27"/>
          </reference>
        </references>
      </pivotArea>
    </chartFormat>
    <chartFormat chart="2" format="368" series="1">
      <pivotArea type="data" outline="0" fieldPosition="0">
        <references count="2">
          <reference field="4294967294" count="1" selected="0">
            <x v="0"/>
          </reference>
          <reference field="29" count="1" selected="0">
            <x v="28"/>
          </reference>
        </references>
      </pivotArea>
    </chartFormat>
    <chartFormat chart="2" format="369" series="1">
      <pivotArea type="data" outline="0" fieldPosition="0">
        <references count="2">
          <reference field="4294967294" count="1" selected="0">
            <x v="1"/>
          </reference>
          <reference field="29" count="1" selected="0">
            <x v="28"/>
          </reference>
        </references>
      </pivotArea>
    </chartFormat>
    <chartFormat chart="2" format="370" series="1">
      <pivotArea type="data" outline="0" fieldPosition="0">
        <references count="2">
          <reference field="4294967294" count="1" selected="0">
            <x v="0"/>
          </reference>
          <reference field="29" count="1" selected="0">
            <x v="29"/>
          </reference>
        </references>
      </pivotArea>
    </chartFormat>
    <chartFormat chart="2" format="371" series="1">
      <pivotArea type="data" outline="0" fieldPosition="0">
        <references count="2">
          <reference field="4294967294" count="1" selected="0">
            <x v="1"/>
          </reference>
          <reference field="29" count="1" selected="0">
            <x v="29"/>
          </reference>
        </references>
      </pivotArea>
    </chartFormat>
    <chartFormat chart="2" format="372" series="1">
      <pivotArea type="data" outline="0" fieldPosition="0">
        <references count="2">
          <reference field="4294967294" count="1" selected="0">
            <x v="0"/>
          </reference>
          <reference field="29" count="1" selected="0">
            <x v="30"/>
          </reference>
        </references>
      </pivotArea>
    </chartFormat>
    <chartFormat chart="2" format="373" series="1">
      <pivotArea type="data" outline="0" fieldPosition="0">
        <references count="2">
          <reference field="4294967294" count="1" selected="0">
            <x v="1"/>
          </reference>
          <reference field="29" count="1" selected="0">
            <x v="30"/>
          </reference>
        </references>
      </pivotArea>
    </chartFormat>
    <chartFormat chart="2" format="374" series="1">
      <pivotArea type="data" outline="0" fieldPosition="0">
        <references count="2">
          <reference field="4294967294" count="1" selected="0">
            <x v="0"/>
          </reference>
          <reference field="29" count="1" selected="0">
            <x v="31"/>
          </reference>
        </references>
      </pivotArea>
    </chartFormat>
    <chartFormat chart="2" format="375" series="1">
      <pivotArea type="data" outline="0" fieldPosition="0">
        <references count="2">
          <reference field="4294967294" count="1" selected="0">
            <x v="1"/>
          </reference>
          <reference field="29" count="1" selected="0">
            <x v="31"/>
          </reference>
        </references>
      </pivotArea>
    </chartFormat>
    <chartFormat chart="2" format="376" series="1">
      <pivotArea type="data" outline="0" fieldPosition="0">
        <references count="2">
          <reference field="4294967294" count="1" selected="0">
            <x v="0"/>
          </reference>
          <reference field="29" count="1" selected="0">
            <x v="32"/>
          </reference>
        </references>
      </pivotArea>
    </chartFormat>
    <chartFormat chart="2" format="377" series="1">
      <pivotArea type="data" outline="0" fieldPosition="0">
        <references count="2">
          <reference field="4294967294" count="1" selected="0">
            <x v="1"/>
          </reference>
          <reference field="29" count="1" selected="0">
            <x v="32"/>
          </reference>
        </references>
      </pivotArea>
    </chartFormat>
    <chartFormat chart="2" format="378" series="1">
      <pivotArea type="data" outline="0" fieldPosition="0">
        <references count="2">
          <reference field="4294967294" count="1" selected="0">
            <x v="0"/>
          </reference>
          <reference field="29" count="1" selected="0">
            <x v="33"/>
          </reference>
        </references>
      </pivotArea>
    </chartFormat>
    <chartFormat chart="2" format="379" series="1">
      <pivotArea type="data" outline="0" fieldPosition="0">
        <references count="2">
          <reference field="4294967294" count="1" selected="0">
            <x v="1"/>
          </reference>
          <reference field="29" count="1" selected="0">
            <x v="33"/>
          </reference>
        </references>
      </pivotArea>
    </chartFormat>
    <chartFormat chart="2" format="380" series="1">
      <pivotArea type="data" outline="0" fieldPosition="0">
        <references count="2">
          <reference field="4294967294" count="1" selected="0">
            <x v="0"/>
          </reference>
          <reference field="29" count="1" selected="0">
            <x v="34"/>
          </reference>
        </references>
      </pivotArea>
    </chartFormat>
    <chartFormat chart="2" format="381" series="1">
      <pivotArea type="data" outline="0" fieldPosition="0">
        <references count="2">
          <reference field="4294967294" count="1" selected="0">
            <x v="1"/>
          </reference>
          <reference field="29" count="1" selected="0">
            <x v="34"/>
          </reference>
        </references>
      </pivotArea>
    </chartFormat>
    <chartFormat chart="2" format="382" series="1">
      <pivotArea type="data" outline="0" fieldPosition="0">
        <references count="2">
          <reference field="4294967294" count="1" selected="0">
            <x v="0"/>
          </reference>
          <reference field="29" count="1" selected="0">
            <x v="35"/>
          </reference>
        </references>
      </pivotArea>
    </chartFormat>
    <chartFormat chart="2" format="383" series="1">
      <pivotArea type="data" outline="0" fieldPosition="0">
        <references count="2">
          <reference field="4294967294" count="1" selected="0">
            <x v="1"/>
          </reference>
          <reference field="29" count="1" selected="0">
            <x v="35"/>
          </reference>
        </references>
      </pivotArea>
    </chartFormat>
    <chartFormat chart="2" format="384" series="1">
      <pivotArea type="data" outline="0" fieldPosition="0">
        <references count="2">
          <reference field="4294967294" count="1" selected="0">
            <x v="0"/>
          </reference>
          <reference field="29" count="1" selected="0">
            <x v="36"/>
          </reference>
        </references>
      </pivotArea>
    </chartFormat>
    <chartFormat chart="2" format="385" series="1">
      <pivotArea type="data" outline="0" fieldPosition="0">
        <references count="2">
          <reference field="4294967294" count="1" selected="0">
            <x v="1"/>
          </reference>
          <reference field="29" count="1" selected="0">
            <x v="36"/>
          </reference>
        </references>
      </pivotArea>
    </chartFormat>
    <chartFormat chart="2" format="386" series="1">
      <pivotArea type="data" outline="0" fieldPosition="0">
        <references count="2">
          <reference field="4294967294" count="1" selected="0">
            <x v="0"/>
          </reference>
          <reference field="29" count="1" selected="0">
            <x v="37"/>
          </reference>
        </references>
      </pivotArea>
    </chartFormat>
    <chartFormat chart="2" format="387" series="1">
      <pivotArea type="data" outline="0" fieldPosition="0">
        <references count="2">
          <reference field="4294967294" count="1" selected="0">
            <x v="1"/>
          </reference>
          <reference field="29" count="1" selected="0">
            <x v="37"/>
          </reference>
        </references>
      </pivotArea>
    </chartFormat>
    <chartFormat chart="2" format="388" series="1">
      <pivotArea type="data" outline="0" fieldPosition="0">
        <references count="2">
          <reference field="4294967294" count="1" selected="0">
            <x v="0"/>
          </reference>
          <reference field="29" count="1" selected="0">
            <x v="38"/>
          </reference>
        </references>
      </pivotArea>
    </chartFormat>
    <chartFormat chart="2" format="389" series="1">
      <pivotArea type="data" outline="0" fieldPosition="0">
        <references count="2">
          <reference field="4294967294" count="1" selected="0">
            <x v="1"/>
          </reference>
          <reference field="29" count="1" selected="0">
            <x v="38"/>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3.xml><?xml version="1.0" encoding="utf-8"?>
<pivotTableDefinition xmlns="http://schemas.openxmlformats.org/spreadsheetml/2006/main" xmlns:mc="http://schemas.openxmlformats.org/markup-compatibility/2006" xmlns:xr="http://schemas.microsoft.com/office/spreadsheetml/2014/revision" mc:Ignorable="xr" xr:uid="{D2AD282B-A82C-48C7-A618-AE140963BF2F}" name="PivotTable4" cacheId="2024"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chartFormat="3">
  <location ref="B3:F19" firstHeaderRow="1" firstDataRow="3" firstDataCol="1"/>
  <pivotFields count="54">
    <pivotField showAll="0"/>
    <pivotField axis="axisRow" numFmtId="14" showAll="0">
      <items count="14">
        <item x="7"/>
        <item x="8"/>
        <item x="9"/>
        <item x="10"/>
        <item x="11"/>
        <item x="12"/>
        <item x="0"/>
        <item x="1"/>
        <item x="2"/>
        <item x="3"/>
        <item x="4"/>
        <item x="5"/>
        <item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showAll="0">
      <items count="40">
        <item x="12"/>
        <item h="1" x="5"/>
        <item h="1" x="6"/>
        <item h="1" x="19"/>
        <item h="1" x="37"/>
        <item h="1" x="24"/>
        <item h="1" x="35"/>
        <item h="1" x="17"/>
        <item h="1" x="23"/>
        <item h="1" x="2"/>
        <item h="1" x="31"/>
        <item h="1" x="21"/>
        <item h="1" x="15"/>
        <item h="1" x="36"/>
        <item h="1" x="0"/>
        <item h="1" x="13"/>
        <item h="1" x="29"/>
        <item h="1" x="32"/>
        <item h="1" x="33"/>
        <item h="1" x="27"/>
        <item h="1" x="3"/>
        <item h="1" x="38"/>
        <item h="1" x="26"/>
        <item h="1" x="22"/>
        <item h="1" x="20"/>
        <item h="1" x="9"/>
        <item h="1" x="7"/>
        <item h="1" x="11"/>
        <item h="1" x="14"/>
        <item h="1" x="10"/>
        <item h="1" x="30"/>
        <item h="1" x="1"/>
        <item h="1" x="28"/>
        <item h="1" x="34"/>
        <item h="1" x="18"/>
        <item h="1" x="8"/>
        <item h="1" x="4"/>
        <item h="1" x="16"/>
        <item h="1" x="25"/>
        <item t="default"/>
      </items>
    </pivotField>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s>
  <rowFields count="1">
    <field x="1"/>
  </rowFields>
  <rowItems count="14">
    <i>
      <x/>
    </i>
    <i>
      <x v="1"/>
    </i>
    <i>
      <x v="2"/>
    </i>
    <i>
      <x v="3"/>
    </i>
    <i>
      <x v="4"/>
    </i>
    <i>
      <x v="5"/>
    </i>
    <i>
      <x v="6"/>
    </i>
    <i>
      <x v="7"/>
    </i>
    <i>
      <x v="8"/>
    </i>
    <i>
      <x v="9"/>
    </i>
    <i>
      <x v="10"/>
    </i>
    <i>
      <x v="11"/>
    </i>
    <i>
      <x v="12"/>
    </i>
    <i t="grand">
      <x/>
    </i>
  </rowItems>
  <colFields count="2">
    <field x="29"/>
    <field x="-2"/>
  </colFields>
  <colItems count="4">
    <i>
      <x/>
      <x/>
    </i>
    <i r="1" i="1">
      <x v="1"/>
    </i>
    <i t="grand">
      <x/>
    </i>
    <i t="grand" i="1">
      <x/>
    </i>
  </colItems>
  <dataFields count="2">
    <dataField name="Not on PPI %" fld="53" baseField="1" baseItem="0"/>
    <dataField name="Target 15%" fld="35" baseField="1" baseItem="0"/>
  </dataFields>
  <chartFormats count="234">
    <chartFormat chart="0" format="156" series="1">
      <pivotArea type="data" outline="0" fieldPosition="0">
        <references count="2">
          <reference field="4294967294" count="1" selected="0">
            <x v="0"/>
          </reference>
          <reference field="29" count="1" selected="0">
            <x v="0"/>
          </reference>
        </references>
      </pivotArea>
    </chartFormat>
    <chartFormat chart="0" format="157" series="1">
      <pivotArea type="data" outline="0" fieldPosition="0">
        <references count="2">
          <reference field="4294967294" count="1" selected="0">
            <x v="1"/>
          </reference>
          <reference field="29" count="1" selected="0">
            <x v="0"/>
          </reference>
        </references>
      </pivotArea>
    </chartFormat>
    <chartFormat chart="0" format="158" series="1">
      <pivotArea type="data" outline="0" fieldPosition="0">
        <references count="2">
          <reference field="4294967294" count="1" selected="0">
            <x v="0"/>
          </reference>
          <reference field="29" count="1" selected="0">
            <x v="1"/>
          </reference>
        </references>
      </pivotArea>
    </chartFormat>
    <chartFormat chart="0" format="159" series="1">
      <pivotArea type="data" outline="0" fieldPosition="0">
        <references count="2">
          <reference field="4294967294" count="1" selected="0">
            <x v="1"/>
          </reference>
          <reference field="29" count="1" selected="0">
            <x v="1"/>
          </reference>
        </references>
      </pivotArea>
    </chartFormat>
    <chartFormat chart="0" format="160" series="1">
      <pivotArea type="data" outline="0" fieldPosition="0">
        <references count="2">
          <reference field="4294967294" count="1" selected="0">
            <x v="0"/>
          </reference>
          <reference field="29" count="1" selected="0">
            <x v="2"/>
          </reference>
        </references>
      </pivotArea>
    </chartFormat>
    <chartFormat chart="0" format="161" series="1">
      <pivotArea type="data" outline="0" fieldPosition="0">
        <references count="2">
          <reference field="4294967294" count="1" selected="0">
            <x v="1"/>
          </reference>
          <reference field="29" count="1" selected="0">
            <x v="2"/>
          </reference>
        </references>
      </pivotArea>
    </chartFormat>
    <chartFormat chart="0" format="162" series="1">
      <pivotArea type="data" outline="0" fieldPosition="0">
        <references count="2">
          <reference field="4294967294" count="1" selected="0">
            <x v="0"/>
          </reference>
          <reference field="29" count="1" selected="0">
            <x v="3"/>
          </reference>
        </references>
      </pivotArea>
    </chartFormat>
    <chartFormat chart="0" format="163" series="1">
      <pivotArea type="data" outline="0" fieldPosition="0">
        <references count="2">
          <reference field="4294967294" count="1" selected="0">
            <x v="1"/>
          </reference>
          <reference field="29" count="1" selected="0">
            <x v="3"/>
          </reference>
        </references>
      </pivotArea>
    </chartFormat>
    <chartFormat chart="0" format="164" series="1">
      <pivotArea type="data" outline="0" fieldPosition="0">
        <references count="2">
          <reference field="4294967294" count="1" selected="0">
            <x v="0"/>
          </reference>
          <reference field="29" count="1" selected="0">
            <x v="4"/>
          </reference>
        </references>
      </pivotArea>
    </chartFormat>
    <chartFormat chart="0" format="165" series="1">
      <pivotArea type="data" outline="0" fieldPosition="0">
        <references count="2">
          <reference field="4294967294" count="1" selected="0">
            <x v="1"/>
          </reference>
          <reference field="29" count="1" selected="0">
            <x v="4"/>
          </reference>
        </references>
      </pivotArea>
    </chartFormat>
    <chartFormat chart="0" format="166" series="1">
      <pivotArea type="data" outline="0" fieldPosition="0">
        <references count="2">
          <reference field="4294967294" count="1" selected="0">
            <x v="0"/>
          </reference>
          <reference field="29" count="1" selected="0">
            <x v="5"/>
          </reference>
        </references>
      </pivotArea>
    </chartFormat>
    <chartFormat chart="0" format="167" series="1">
      <pivotArea type="data" outline="0" fieldPosition="0">
        <references count="2">
          <reference field="4294967294" count="1" selected="0">
            <x v="1"/>
          </reference>
          <reference field="29" count="1" selected="0">
            <x v="5"/>
          </reference>
        </references>
      </pivotArea>
    </chartFormat>
    <chartFormat chart="0" format="168" series="1">
      <pivotArea type="data" outline="0" fieldPosition="0">
        <references count="2">
          <reference field="4294967294" count="1" selected="0">
            <x v="0"/>
          </reference>
          <reference field="29" count="1" selected="0">
            <x v="6"/>
          </reference>
        </references>
      </pivotArea>
    </chartFormat>
    <chartFormat chart="0" format="169" series="1">
      <pivotArea type="data" outline="0" fieldPosition="0">
        <references count="2">
          <reference field="4294967294" count="1" selected="0">
            <x v="1"/>
          </reference>
          <reference field="29" count="1" selected="0">
            <x v="6"/>
          </reference>
        </references>
      </pivotArea>
    </chartFormat>
    <chartFormat chart="0" format="170" series="1">
      <pivotArea type="data" outline="0" fieldPosition="0">
        <references count="2">
          <reference field="4294967294" count="1" selected="0">
            <x v="0"/>
          </reference>
          <reference field="29" count="1" selected="0">
            <x v="7"/>
          </reference>
        </references>
      </pivotArea>
    </chartFormat>
    <chartFormat chart="0" format="171" series="1">
      <pivotArea type="data" outline="0" fieldPosition="0">
        <references count="2">
          <reference field="4294967294" count="1" selected="0">
            <x v="1"/>
          </reference>
          <reference field="29" count="1" selected="0">
            <x v="7"/>
          </reference>
        </references>
      </pivotArea>
    </chartFormat>
    <chartFormat chart="0" format="172" series="1">
      <pivotArea type="data" outline="0" fieldPosition="0">
        <references count="2">
          <reference field="4294967294" count="1" selected="0">
            <x v="0"/>
          </reference>
          <reference field="29" count="1" selected="0">
            <x v="8"/>
          </reference>
        </references>
      </pivotArea>
    </chartFormat>
    <chartFormat chart="0" format="173" series="1">
      <pivotArea type="data" outline="0" fieldPosition="0">
        <references count="2">
          <reference field="4294967294" count="1" selected="0">
            <x v="1"/>
          </reference>
          <reference field="29" count="1" selected="0">
            <x v="8"/>
          </reference>
        </references>
      </pivotArea>
    </chartFormat>
    <chartFormat chart="0" format="174" series="1">
      <pivotArea type="data" outline="0" fieldPosition="0">
        <references count="2">
          <reference field="4294967294" count="1" selected="0">
            <x v="0"/>
          </reference>
          <reference field="29" count="1" selected="0">
            <x v="9"/>
          </reference>
        </references>
      </pivotArea>
    </chartFormat>
    <chartFormat chart="0" format="175" series="1">
      <pivotArea type="data" outline="0" fieldPosition="0">
        <references count="2">
          <reference field="4294967294" count="1" selected="0">
            <x v="1"/>
          </reference>
          <reference field="29" count="1" selected="0">
            <x v="9"/>
          </reference>
        </references>
      </pivotArea>
    </chartFormat>
    <chartFormat chart="0" format="176" series="1">
      <pivotArea type="data" outline="0" fieldPosition="0">
        <references count="2">
          <reference field="4294967294" count="1" selected="0">
            <x v="0"/>
          </reference>
          <reference field="29" count="1" selected="0">
            <x v="10"/>
          </reference>
        </references>
      </pivotArea>
    </chartFormat>
    <chartFormat chart="0" format="177" series="1">
      <pivotArea type="data" outline="0" fieldPosition="0">
        <references count="2">
          <reference field="4294967294" count="1" selected="0">
            <x v="1"/>
          </reference>
          <reference field="29" count="1" selected="0">
            <x v="10"/>
          </reference>
        </references>
      </pivotArea>
    </chartFormat>
    <chartFormat chart="0" format="178" series="1">
      <pivotArea type="data" outline="0" fieldPosition="0">
        <references count="2">
          <reference field="4294967294" count="1" selected="0">
            <x v="0"/>
          </reference>
          <reference field="29" count="1" selected="0">
            <x v="11"/>
          </reference>
        </references>
      </pivotArea>
    </chartFormat>
    <chartFormat chart="0" format="179" series="1">
      <pivotArea type="data" outline="0" fieldPosition="0">
        <references count="2">
          <reference field="4294967294" count="1" selected="0">
            <x v="1"/>
          </reference>
          <reference field="29" count="1" selected="0">
            <x v="11"/>
          </reference>
        </references>
      </pivotArea>
    </chartFormat>
    <chartFormat chart="0" format="180" series="1">
      <pivotArea type="data" outline="0" fieldPosition="0">
        <references count="2">
          <reference field="4294967294" count="1" selected="0">
            <x v="0"/>
          </reference>
          <reference field="29" count="1" selected="0">
            <x v="12"/>
          </reference>
        </references>
      </pivotArea>
    </chartFormat>
    <chartFormat chart="0" format="181" series="1">
      <pivotArea type="data" outline="0" fieldPosition="0">
        <references count="2">
          <reference field="4294967294" count="1" selected="0">
            <x v="1"/>
          </reference>
          <reference field="29" count="1" selected="0">
            <x v="12"/>
          </reference>
        </references>
      </pivotArea>
    </chartFormat>
    <chartFormat chart="0" format="182" series="1">
      <pivotArea type="data" outline="0" fieldPosition="0">
        <references count="2">
          <reference field="4294967294" count="1" selected="0">
            <x v="0"/>
          </reference>
          <reference field="29" count="1" selected="0">
            <x v="13"/>
          </reference>
        </references>
      </pivotArea>
    </chartFormat>
    <chartFormat chart="0" format="183" series="1">
      <pivotArea type="data" outline="0" fieldPosition="0">
        <references count="2">
          <reference field="4294967294" count="1" selected="0">
            <x v="1"/>
          </reference>
          <reference field="29" count="1" selected="0">
            <x v="13"/>
          </reference>
        </references>
      </pivotArea>
    </chartFormat>
    <chartFormat chart="0" format="184" series="1">
      <pivotArea type="data" outline="0" fieldPosition="0">
        <references count="2">
          <reference field="4294967294" count="1" selected="0">
            <x v="0"/>
          </reference>
          <reference field="29" count="1" selected="0">
            <x v="14"/>
          </reference>
        </references>
      </pivotArea>
    </chartFormat>
    <chartFormat chart="0" format="185" series="1">
      <pivotArea type="data" outline="0" fieldPosition="0">
        <references count="2">
          <reference field="4294967294" count="1" selected="0">
            <x v="1"/>
          </reference>
          <reference field="29" count="1" selected="0">
            <x v="14"/>
          </reference>
        </references>
      </pivotArea>
    </chartFormat>
    <chartFormat chart="0" format="186" series="1">
      <pivotArea type="data" outline="0" fieldPosition="0">
        <references count="2">
          <reference field="4294967294" count="1" selected="0">
            <x v="0"/>
          </reference>
          <reference field="29" count="1" selected="0">
            <x v="15"/>
          </reference>
        </references>
      </pivotArea>
    </chartFormat>
    <chartFormat chart="0" format="187" series="1">
      <pivotArea type="data" outline="0" fieldPosition="0">
        <references count="2">
          <reference field="4294967294" count="1" selected="0">
            <x v="1"/>
          </reference>
          <reference field="29" count="1" selected="0">
            <x v="15"/>
          </reference>
        </references>
      </pivotArea>
    </chartFormat>
    <chartFormat chart="0" format="188" series="1">
      <pivotArea type="data" outline="0" fieldPosition="0">
        <references count="2">
          <reference field="4294967294" count="1" selected="0">
            <x v="0"/>
          </reference>
          <reference field="29" count="1" selected="0">
            <x v="16"/>
          </reference>
        </references>
      </pivotArea>
    </chartFormat>
    <chartFormat chart="0" format="189" series="1">
      <pivotArea type="data" outline="0" fieldPosition="0">
        <references count="2">
          <reference field="4294967294" count="1" selected="0">
            <x v="1"/>
          </reference>
          <reference field="29" count="1" selected="0">
            <x v="16"/>
          </reference>
        </references>
      </pivotArea>
    </chartFormat>
    <chartFormat chart="0" format="190" series="1">
      <pivotArea type="data" outline="0" fieldPosition="0">
        <references count="2">
          <reference field="4294967294" count="1" selected="0">
            <x v="0"/>
          </reference>
          <reference field="29" count="1" selected="0">
            <x v="17"/>
          </reference>
        </references>
      </pivotArea>
    </chartFormat>
    <chartFormat chart="0" format="191" series="1">
      <pivotArea type="data" outline="0" fieldPosition="0">
        <references count="2">
          <reference field="4294967294" count="1" selected="0">
            <x v="1"/>
          </reference>
          <reference field="29" count="1" selected="0">
            <x v="17"/>
          </reference>
        </references>
      </pivotArea>
    </chartFormat>
    <chartFormat chart="0" format="192" series="1">
      <pivotArea type="data" outline="0" fieldPosition="0">
        <references count="2">
          <reference field="4294967294" count="1" selected="0">
            <x v="0"/>
          </reference>
          <reference field="29" count="1" selected="0">
            <x v="18"/>
          </reference>
        </references>
      </pivotArea>
    </chartFormat>
    <chartFormat chart="0" format="193" series="1">
      <pivotArea type="data" outline="0" fieldPosition="0">
        <references count="2">
          <reference field="4294967294" count="1" selected="0">
            <x v="1"/>
          </reference>
          <reference field="29" count="1" selected="0">
            <x v="18"/>
          </reference>
        </references>
      </pivotArea>
    </chartFormat>
    <chartFormat chart="0" format="194" series="1">
      <pivotArea type="data" outline="0" fieldPosition="0">
        <references count="2">
          <reference field="4294967294" count="1" selected="0">
            <x v="0"/>
          </reference>
          <reference field="29" count="1" selected="0">
            <x v="19"/>
          </reference>
        </references>
      </pivotArea>
    </chartFormat>
    <chartFormat chart="0" format="195" series="1">
      <pivotArea type="data" outline="0" fieldPosition="0">
        <references count="2">
          <reference field="4294967294" count="1" selected="0">
            <x v="1"/>
          </reference>
          <reference field="29" count="1" selected="0">
            <x v="19"/>
          </reference>
        </references>
      </pivotArea>
    </chartFormat>
    <chartFormat chart="0" format="196" series="1">
      <pivotArea type="data" outline="0" fieldPosition="0">
        <references count="2">
          <reference field="4294967294" count="1" selected="0">
            <x v="0"/>
          </reference>
          <reference field="29" count="1" selected="0">
            <x v="20"/>
          </reference>
        </references>
      </pivotArea>
    </chartFormat>
    <chartFormat chart="0" format="197" series="1">
      <pivotArea type="data" outline="0" fieldPosition="0">
        <references count="2">
          <reference field="4294967294" count="1" selected="0">
            <x v="1"/>
          </reference>
          <reference field="29" count="1" selected="0">
            <x v="20"/>
          </reference>
        </references>
      </pivotArea>
    </chartFormat>
    <chartFormat chart="0" format="198" series="1">
      <pivotArea type="data" outline="0" fieldPosition="0">
        <references count="2">
          <reference field="4294967294" count="1" selected="0">
            <x v="0"/>
          </reference>
          <reference field="29" count="1" selected="0">
            <x v="21"/>
          </reference>
        </references>
      </pivotArea>
    </chartFormat>
    <chartFormat chart="0" format="199" series="1">
      <pivotArea type="data" outline="0" fieldPosition="0">
        <references count="2">
          <reference field="4294967294" count="1" selected="0">
            <x v="1"/>
          </reference>
          <reference field="29" count="1" selected="0">
            <x v="21"/>
          </reference>
        </references>
      </pivotArea>
    </chartFormat>
    <chartFormat chart="0" format="200" series="1">
      <pivotArea type="data" outline="0" fieldPosition="0">
        <references count="2">
          <reference field="4294967294" count="1" selected="0">
            <x v="0"/>
          </reference>
          <reference field="29" count="1" selected="0">
            <x v="22"/>
          </reference>
        </references>
      </pivotArea>
    </chartFormat>
    <chartFormat chart="0" format="201" series="1">
      <pivotArea type="data" outline="0" fieldPosition="0">
        <references count="2">
          <reference field="4294967294" count="1" selected="0">
            <x v="1"/>
          </reference>
          <reference field="29" count="1" selected="0">
            <x v="22"/>
          </reference>
        </references>
      </pivotArea>
    </chartFormat>
    <chartFormat chart="0" format="202" series="1">
      <pivotArea type="data" outline="0" fieldPosition="0">
        <references count="2">
          <reference field="4294967294" count="1" selected="0">
            <x v="0"/>
          </reference>
          <reference field="29" count="1" selected="0">
            <x v="23"/>
          </reference>
        </references>
      </pivotArea>
    </chartFormat>
    <chartFormat chart="0" format="203" series="1">
      <pivotArea type="data" outline="0" fieldPosition="0">
        <references count="2">
          <reference field="4294967294" count="1" selected="0">
            <x v="1"/>
          </reference>
          <reference field="29" count="1" selected="0">
            <x v="23"/>
          </reference>
        </references>
      </pivotArea>
    </chartFormat>
    <chartFormat chart="0" format="204" series="1">
      <pivotArea type="data" outline="0" fieldPosition="0">
        <references count="2">
          <reference field="4294967294" count="1" selected="0">
            <x v="0"/>
          </reference>
          <reference field="29" count="1" selected="0">
            <x v="24"/>
          </reference>
        </references>
      </pivotArea>
    </chartFormat>
    <chartFormat chart="0" format="205" series="1">
      <pivotArea type="data" outline="0" fieldPosition="0">
        <references count="2">
          <reference field="4294967294" count="1" selected="0">
            <x v="1"/>
          </reference>
          <reference field="29" count="1" selected="0">
            <x v="24"/>
          </reference>
        </references>
      </pivotArea>
    </chartFormat>
    <chartFormat chart="0" format="206" series="1">
      <pivotArea type="data" outline="0" fieldPosition="0">
        <references count="2">
          <reference field="4294967294" count="1" selected="0">
            <x v="0"/>
          </reference>
          <reference field="29" count="1" selected="0">
            <x v="25"/>
          </reference>
        </references>
      </pivotArea>
    </chartFormat>
    <chartFormat chart="0" format="207" series="1">
      <pivotArea type="data" outline="0" fieldPosition="0">
        <references count="2">
          <reference field="4294967294" count="1" selected="0">
            <x v="1"/>
          </reference>
          <reference field="29" count="1" selected="0">
            <x v="25"/>
          </reference>
        </references>
      </pivotArea>
    </chartFormat>
    <chartFormat chart="0" format="208" series="1">
      <pivotArea type="data" outline="0" fieldPosition="0">
        <references count="2">
          <reference field="4294967294" count="1" selected="0">
            <x v="0"/>
          </reference>
          <reference field="29" count="1" selected="0">
            <x v="26"/>
          </reference>
        </references>
      </pivotArea>
    </chartFormat>
    <chartFormat chart="0" format="209" series="1">
      <pivotArea type="data" outline="0" fieldPosition="0">
        <references count="2">
          <reference field="4294967294" count="1" selected="0">
            <x v="1"/>
          </reference>
          <reference field="29" count="1" selected="0">
            <x v="26"/>
          </reference>
        </references>
      </pivotArea>
    </chartFormat>
    <chartFormat chart="0" format="210" series="1">
      <pivotArea type="data" outline="0" fieldPosition="0">
        <references count="2">
          <reference field="4294967294" count="1" selected="0">
            <x v="0"/>
          </reference>
          <reference field="29" count="1" selected="0">
            <x v="27"/>
          </reference>
        </references>
      </pivotArea>
    </chartFormat>
    <chartFormat chart="0" format="211" series="1">
      <pivotArea type="data" outline="0" fieldPosition="0">
        <references count="2">
          <reference field="4294967294" count="1" selected="0">
            <x v="1"/>
          </reference>
          <reference field="29" count="1" selected="0">
            <x v="27"/>
          </reference>
        </references>
      </pivotArea>
    </chartFormat>
    <chartFormat chart="0" format="212" series="1">
      <pivotArea type="data" outline="0" fieldPosition="0">
        <references count="2">
          <reference field="4294967294" count="1" selected="0">
            <x v="0"/>
          </reference>
          <reference field="29" count="1" selected="0">
            <x v="28"/>
          </reference>
        </references>
      </pivotArea>
    </chartFormat>
    <chartFormat chart="0" format="213" series="1">
      <pivotArea type="data" outline="0" fieldPosition="0">
        <references count="2">
          <reference field="4294967294" count="1" selected="0">
            <x v="1"/>
          </reference>
          <reference field="29" count="1" selected="0">
            <x v="28"/>
          </reference>
        </references>
      </pivotArea>
    </chartFormat>
    <chartFormat chart="0" format="214" series="1">
      <pivotArea type="data" outline="0" fieldPosition="0">
        <references count="2">
          <reference field="4294967294" count="1" selected="0">
            <x v="0"/>
          </reference>
          <reference field="29" count="1" selected="0">
            <x v="29"/>
          </reference>
        </references>
      </pivotArea>
    </chartFormat>
    <chartFormat chart="0" format="215" series="1">
      <pivotArea type="data" outline="0" fieldPosition="0">
        <references count="2">
          <reference field="4294967294" count="1" selected="0">
            <x v="1"/>
          </reference>
          <reference field="29" count="1" selected="0">
            <x v="29"/>
          </reference>
        </references>
      </pivotArea>
    </chartFormat>
    <chartFormat chart="0" format="216" series="1">
      <pivotArea type="data" outline="0" fieldPosition="0">
        <references count="2">
          <reference field="4294967294" count="1" selected="0">
            <x v="0"/>
          </reference>
          <reference field="29" count="1" selected="0">
            <x v="30"/>
          </reference>
        </references>
      </pivotArea>
    </chartFormat>
    <chartFormat chart="0" format="217" series="1">
      <pivotArea type="data" outline="0" fieldPosition="0">
        <references count="2">
          <reference field="4294967294" count="1" selected="0">
            <x v="1"/>
          </reference>
          <reference field="29" count="1" selected="0">
            <x v="30"/>
          </reference>
        </references>
      </pivotArea>
    </chartFormat>
    <chartFormat chart="0" format="218" series="1">
      <pivotArea type="data" outline="0" fieldPosition="0">
        <references count="2">
          <reference field="4294967294" count="1" selected="0">
            <x v="0"/>
          </reference>
          <reference field="29" count="1" selected="0">
            <x v="31"/>
          </reference>
        </references>
      </pivotArea>
    </chartFormat>
    <chartFormat chart="0" format="219" series="1">
      <pivotArea type="data" outline="0" fieldPosition="0">
        <references count="2">
          <reference field="4294967294" count="1" selected="0">
            <x v="1"/>
          </reference>
          <reference field="29" count="1" selected="0">
            <x v="31"/>
          </reference>
        </references>
      </pivotArea>
    </chartFormat>
    <chartFormat chart="0" format="220" series="1">
      <pivotArea type="data" outline="0" fieldPosition="0">
        <references count="2">
          <reference field="4294967294" count="1" selected="0">
            <x v="0"/>
          </reference>
          <reference field="29" count="1" selected="0">
            <x v="32"/>
          </reference>
        </references>
      </pivotArea>
    </chartFormat>
    <chartFormat chart="0" format="221" series="1">
      <pivotArea type="data" outline="0" fieldPosition="0">
        <references count="2">
          <reference field="4294967294" count="1" selected="0">
            <x v="1"/>
          </reference>
          <reference field="29" count="1" selected="0">
            <x v="32"/>
          </reference>
        </references>
      </pivotArea>
    </chartFormat>
    <chartFormat chart="0" format="222" series="1">
      <pivotArea type="data" outline="0" fieldPosition="0">
        <references count="2">
          <reference field="4294967294" count="1" selected="0">
            <x v="0"/>
          </reference>
          <reference field="29" count="1" selected="0">
            <x v="33"/>
          </reference>
        </references>
      </pivotArea>
    </chartFormat>
    <chartFormat chart="0" format="223" series="1">
      <pivotArea type="data" outline="0" fieldPosition="0">
        <references count="2">
          <reference field="4294967294" count="1" selected="0">
            <x v="1"/>
          </reference>
          <reference field="29" count="1" selected="0">
            <x v="33"/>
          </reference>
        </references>
      </pivotArea>
    </chartFormat>
    <chartFormat chart="0" format="224" series="1">
      <pivotArea type="data" outline="0" fieldPosition="0">
        <references count="2">
          <reference field="4294967294" count="1" selected="0">
            <x v="0"/>
          </reference>
          <reference field="29" count="1" selected="0">
            <x v="34"/>
          </reference>
        </references>
      </pivotArea>
    </chartFormat>
    <chartFormat chart="0" format="225" series="1">
      <pivotArea type="data" outline="0" fieldPosition="0">
        <references count="2">
          <reference field="4294967294" count="1" selected="0">
            <x v="1"/>
          </reference>
          <reference field="29" count="1" selected="0">
            <x v="34"/>
          </reference>
        </references>
      </pivotArea>
    </chartFormat>
    <chartFormat chart="0" format="226" series="1">
      <pivotArea type="data" outline="0" fieldPosition="0">
        <references count="2">
          <reference field="4294967294" count="1" selected="0">
            <x v="0"/>
          </reference>
          <reference field="29" count="1" selected="0">
            <x v="35"/>
          </reference>
        </references>
      </pivotArea>
    </chartFormat>
    <chartFormat chart="0" format="227" series="1">
      <pivotArea type="data" outline="0" fieldPosition="0">
        <references count="2">
          <reference field="4294967294" count="1" selected="0">
            <x v="1"/>
          </reference>
          <reference field="29" count="1" selected="0">
            <x v="35"/>
          </reference>
        </references>
      </pivotArea>
    </chartFormat>
    <chartFormat chart="0" format="228" series="1">
      <pivotArea type="data" outline="0" fieldPosition="0">
        <references count="2">
          <reference field="4294967294" count="1" selected="0">
            <x v="0"/>
          </reference>
          <reference field="29" count="1" selected="0">
            <x v="36"/>
          </reference>
        </references>
      </pivotArea>
    </chartFormat>
    <chartFormat chart="0" format="229" series="1">
      <pivotArea type="data" outline="0" fieldPosition="0">
        <references count="2">
          <reference field="4294967294" count="1" selected="0">
            <x v="1"/>
          </reference>
          <reference field="29" count="1" selected="0">
            <x v="36"/>
          </reference>
        </references>
      </pivotArea>
    </chartFormat>
    <chartFormat chart="0" format="230" series="1">
      <pivotArea type="data" outline="0" fieldPosition="0">
        <references count="2">
          <reference field="4294967294" count="1" selected="0">
            <x v="0"/>
          </reference>
          <reference field="29" count="1" selected="0">
            <x v="37"/>
          </reference>
        </references>
      </pivotArea>
    </chartFormat>
    <chartFormat chart="0" format="231" series="1">
      <pivotArea type="data" outline="0" fieldPosition="0">
        <references count="2">
          <reference field="4294967294" count="1" selected="0">
            <x v="1"/>
          </reference>
          <reference field="29" count="1" selected="0">
            <x v="37"/>
          </reference>
        </references>
      </pivotArea>
    </chartFormat>
    <chartFormat chart="0" format="232" series="1">
      <pivotArea type="data" outline="0" fieldPosition="0">
        <references count="2">
          <reference field="4294967294" count="1" selected="0">
            <x v="0"/>
          </reference>
          <reference field="29" count="1" selected="0">
            <x v="38"/>
          </reference>
        </references>
      </pivotArea>
    </chartFormat>
    <chartFormat chart="0" format="233" series="1">
      <pivotArea type="data" outline="0" fieldPosition="0">
        <references count="2">
          <reference field="4294967294" count="1" selected="0">
            <x v="1"/>
          </reference>
          <reference field="29" count="1" selected="0">
            <x v="38"/>
          </reference>
        </references>
      </pivotArea>
    </chartFormat>
    <chartFormat chart="1" format="234" series="1">
      <pivotArea type="data" outline="0" fieldPosition="0">
        <references count="2">
          <reference field="4294967294" count="1" selected="0">
            <x v="0"/>
          </reference>
          <reference field="29" count="1" selected="0">
            <x v="0"/>
          </reference>
        </references>
      </pivotArea>
    </chartFormat>
    <chartFormat chart="1" format="235" series="1">
      <pivotArea type="data" outline="0" fieldPosition="0">
        <references count="2">
          <reference field="4294967294" count="1" selected="0">
            <x v="1"/>
          </reference>
          <reference field="29" count="1" selected="0">
            <x v="0"/>
          </reference>
        </references>
      </pivotArea>
    </chartFormat>
    <chartFormat chart="1" format="236" series="1">
      <pivotArea type="data" outline="0" fieldPosition="0">
        <references count="2">
          <reference field="4294967294" count="1" selected="0">
            <x v="0"/>
          </reference>
          <reference field="29" count="1" selected="0">
            <x v="1"/>
          </reference>
        </references>
      </pivotArea>
    </chartFormat>
    <chartFormat chart="1" format="237" series="1">
      <pivotArea type="data" outline="0" fieldPosition="0">
        <references count="2">
          <reference field="4294967294" count="1" selected="0">
            <x v="1"/>
          </reference>
          <reference field="29" count="1" selected="0">
            <x v="1"/>
          </reference>
        </references>
      </pivotArea>
    </chartFormat>
    <chartFormat chart="1" format="238" series="1">
      <pivotArea type="data" outline="0" fieldPosition="0">
        <references count="2">
          <reference field="4294967294" count="1" selected="0">
            <x v="0"/>
          </reference>
          <reference field="29" count="1" selected="0">
            <x v="2"/>
          </reference>
        </references>
      </pivotArea>
    </chartFormat>
    <chartFormat chart="1" format="239" series="1">
      <pivotArea type="data" outline="0" fieldPosition="0">
        <references count="2">
          <reference field="4294967294" count="1" selected="0">
            <x v="1"/>
          </reference>
          <reference field="29" count="1" selected="0">
            <x v="2"/>
          </reference>
        </references>
      </pivotArea>
    </chartFormat>
    <chartFormat chart="1" format="240" series="1">
      <pivotArea type="data" outline="0" fieldPosition="0">
        <references count="2">
          <reference field="4294967294" count="1" selected="0">
            <x v="0"/>
          </reference>
          <reference field="29" count="1" selected="0">
            <x v="3"/>
          </reference>
        </references>
      </pivotArea>
    </chartFormat>
    <chartFormat chart="1" format="241" series="1">
      <pivotArea type="data" outline="0" fieldPosition="0">
        <references count="2">
          <reference field="4294967294" count="1" selected="0">
            <x v="1"/>
          </reference>
          <reference field="29" count="1" selected="0">
            <x v="3"/>
          </reference>
        </references>
      </pivotArea>
    </chartFormat>
    <chartFormat chart="1" format="242" series="1">
      <pivotArea type="data" outline="0" fieldPosition="0">
        <references count="2">
          <reference field="4294967294" count="1" selected="0">
            <x v="0"/>
          </reference>
          <reference field="29" count="1" selected="0">
            <x v="4"/>
          </reference>
        </references>
      </pivotArea>
    </chartFormat>
    <chartFormat chart="1" format="243" series="1">
      <pivotArea type="data" outline="0" fieldPosition="0">
        <references count="2">
          <reference field="4294967294" count="1" selected="0">
            <x v="1"/>
          </reference>
          <reference field="29" count="1" selected="0">
            <x v="4"/>
          </reference>
        </references>
      </pivotArea>
    </chartFormat>
    <chartFormat chart="1" format="244" series="1">
      <pivotArea type="data" outline="0" fieldPosition="0">
        <references count="2">
          <reference field="4294967294" count="1" selected="0">
            <x v="0"/>
          </reference>
          <reference field="29" count="1" selected="0">
            <x v="5"/>
          </reference>
        </references>
      </pivotArea>
    </chartFormat>
    <chartFormat chart="1" format="245" series="1">
      <pivotArea type="data" outline="0" fieldPosition="0">
        <references count="2">
          <reference field="4294967294" count="1" selected="0">
            <x v="1"/>
          </reference>
          <reference field="29" count="1" selected="0">
            <x v="5"/>
          </reference>
        </references>
      </pivotArea>
    </chartFormat>
    <chartFormat chart="1" format="246" series="1">
      <pivotArea type="data" outline="0" fieldPosition="0">
        <references count="2">
          <reference field="4294967294" count="1" selected="0">
            <x v="0"/>
          </reference>
          <reference field="29" count="1" selected="0">
            <x v="6"/>
          </reference>
        </references>
      </pivotArea>
    </chartFormat>
    <chartFormat chart="1" format="247" series="1">
      <pivotArea type="data" outline="0" fieldPosition="0">
        <references count="2">
          <reference field="4294967294" count="1" selected="0">
            <x v="1"/>
          </reference>
          <reference field="29" count="1" selected="0">
            <x v="6"/>
          </reference>
        </references>
      </pivotArea>
    </chartFormat>
    <chartFormat chart="1" format="248" series="1">
      <pivotArea type="data" outline="0" fieldPosition="0">
        <references count="2">
          <reference field="4294967294" count="1" selected="0">
            <x v="0"/>
          </reference>
          <reference field="29" count="1" selected="0">
            <x v="7"/>
          </reference>
        </references>
      </pivotArea>
    </chartFormat>
    <chartFormat chart="1" format="249" series="1">
      <pivotArea type="data" outline="0" fieldPosition="0">
        <references count="2">
          <reference field="4294967294" count="1" selected="0">
            <x v="1"/>
          </reference>
          <reference field="29" count="1" selected="0">
            <x v="7"/>
          </reference>
        </references>
      </pivotArea>
    </chartFormat>
    <chartFormat chart="1" format="250" series="1">
      <pivotArea type="data" outline="0" fieldPosition="0">
        <references count="2">
          <reference field="4294967294" count="1" selected="0">
            <x v="0"/>
          </reference>
          <reference field="29" count="1" selected="0">
            <x v="8"/>
          </reference>
        </references>
      </pivotArea>
    </chartFormat>
    <chartFormat chart="1" format="251" series="1">
      <pivotArea type="data" outline="0" fieldPosition="0">
        <references count="2">
          <reference field="4294967294" count="1" selected="0">
            <x v="1"/>
          </reference>
          <reference field="29" count="1" selected="0">
            <x v="8"/>
          </reference>
        </references>
      </pivotArea>
    </chartFormat>
    <chartFormat chart="1" format="252" series="1">
      <pivotArea type="data" outline="0" fieldPosition="0">
        <references count="2">
          <reference field="4294967294" count="1" selected="0">
            <x v="0"/>
          </reference>
          <reference field="29" count="1" selected="0">
            <x v="9"/>
          </reference>
        </references>
      </pivotArea>
    </chartFormat>
    <chartFormat chart="1" format="253" series="1">
      <pivotArea type="data" outline="0" fieldPosition="0">
        <references count="2">
          <reference field="4294967294" count="1" selected="0">
            <x v="1"/>
          </reference>
          <reference field="29" count="1" selected="0">
            <x v="9"/>
          </reference>
        </references>
      </pivotArea>
    </chartFormat>
    <chartFormat chart="1" format="254" series="1">
      <pivotArea type="data" outline="0" fieldPosition="0">
        <references count="2">
          <reference field="4294967294" count="1" selected="0">
            <x v="0"/>
          </reference>
          <reference field="29" count="1" selected="0">
            <x v="10"/>
          </reference>
        </references>
      </pivotArea>
    </chartFormat>
    <chartFormat chart="1" format="255" series="1">
      <pivotArea type="data" outline="0" fieldPosition="0">
        <references count="2">
          <reference field="4294967294" count="1" selected="0">
            <x v="1"/>
          </reference>
          <reference field="29" count="1" selected="0">
            <x v="10"/>
          </reference>
        </references>
      </pivotArea>
    </chartFormat>
    <chartFormat chart="1" format="256" series="1">
      <pivotArea type="data" outline="0" fieldPosition="0">
        <references count="2">
          <reference field="4294967294" count="1" selected="0">
            <x v="0"/>
          </reference>
          <reference field="29" count="1" selected="0">
            <x v="11"/>
          </reference>
        </references>
      </pivotArea>
    </chartFormat>
    <chartFormat chart="1" format="257" series="1">
      <pivotArea type="data" outline="0" fieldPosition="0">
        <references count="2">
          <reference field="4294967294" count="1" selected="0">
            <x v="1"/>
          </reference>
          <reference field="29" count="1" selected="0">
            <x v="11"/>
          </reference>
        </references>
      </pivotArea>
    </chartFormat>
    <chartFormat chart="1" format="258" series="1">
      <pivotArea type="data" outline="0" fieldPosition="0">
        <references count="2">
          <reference field="4294967294" count="1" selected="0">
            <x v="0"/>
          </reference>
          <reference field="29" count="1" selected="0">
            <x v="12"/>
          </reference>
        </references>
      </pivotArea>
    </chartFormat>
    <chartFormat chart="1" format="259" series="1">
      <pivotArea type="data" outline="0" fieldPosition="0">
        <references count="2">
          <reference field="4294967294" count="1" selected="0">
            <x v="1"/>
          </reference>
          <reference field="29" count="1" selected="0">
            <x v="12"/>
          </reference>
        </references>
      </pivotArea>
    </chartFormat>
    <chartFormat chart="1" format="260" series="1">
      <pivotArea type="data" outline="0" fieldPosition="0">
        <references count="2">
          <reference field="4294967294" count="1" selected="0">
            <x v="0"/>
          </reference>
          <reference field="29" count="1" selected="0">
            <x v="13"/>
          </reference>
        </references>
      </pivotArea>
    </chartFormat>
    <chartFormat chart="1" format="261" series="1">
      <pivotArea type="data" outline="0" fieldPosition="0">
        <references count="2">
          <reference field="4294967294" count="1" selected="0">
            <x v="1"/>
          </reference>
          <reference field="29" count="1" selected="0">
            <x v="13"/>
          </reference>
        </references>
      </pivotArea>
    </chartFormat>
    <chartFormat chart="1" format="262" series="1">
      <pivotArea type="data" outline="0" fieldPosition="0">
        <references count="2">
          <reference field="4294967294" count="1" selected="0">
            <x v="0"/>
          </reference>
          <reference field="29" count="1" selected="0">
            <x v="14"/>
          </reference>
        </references>
      </pivotArea>
    </chartFormat>
    <chartFormat chart="1" format="263" series="1">
      <pivotArea type="data" outline="0" fieldPosition="0">
        <references count="2">
          <reference field="4294967294" count="1" selected="0">
            <x v="1"/>
          </reference>
          <reference field="29" count="1" selected="0">
            <x v="14"/>
          </reference>
        </references>
      </pivotArea>
    </chartFormat>
    <chartFormat chart="1" format="264" series="1">
      <pivotArea type="data" outline="0" fieldPosition="0">
        <references count="2">
          <reference field="4294967294" count="1" selected="0">
            <x v="0"/>
          </reference>
          <reference field="29" count="1" selected="0">
            <x v="15"/>
          </reference>
        </references>
      </pivotArea>
    </chartFormat>
    <chartFormat chart="1" format="265" series="1">
      <pivotArea type="data" outline="0" fieldPosition="0">
        <references count="2">
          <reference field="4294967294" count="1" selected="0">
            <x v="1"/>
          </reference>
          <reference field="29" count="1" selected="0">
            <x v="15"/>
          </reference>
        </references>
      </pivotArea>
    </chartFormat>
    <chartFormat chart="1" format="266" series="1">
      <pivotArea type="data" outline="0" fieldPosition="0">
        <references count="2">
          <reference field="4294967294" count="1" selected="0">
            <x v="0"/>
          </reference>
          <reference field="29" count="1" selected="0">
            <x v="16"/>
          </reference>
        </references>
      </pivotArea>
    </chartFormat>
    <chartFormat chart="1" format="267" series="1">
      <pivotArea type="data" outline="0" fieldPosition="0">
        <references count="2">
          <reference field="4294967294" count="1" selected="0">
            <x v="1"/>
          </reference>
          <reference field="29" count="1" selected="0">
            <x v="16"/>
          </reference>
        </references>
      </pivotArea>
    </chartFormat>
    <chartFormat chart="1" format="268" series="1">
      <pivotArea type="data" outline="0" fieldPosition="0">
        <references count="2">
          <reference field="4294967294" count="1" selected="0">
            <x v="0"/>
          </reference>
          <reference field="29" count="1" selected="0">
            <x v="17"/>
          </reference>
        </references>
      </pivotArea>
    </chartFormat>
    <chartFormat chart="1" format="269" series="1">
      <pivotArea type="data" outline="0" fieldPosition="0">
        <references count="2">
          <reference field="4294967294" count="1" selected="0">
            <x v="1"/>
          </reference>
          <reference field="29" count="1" selected="0">
            <x v="17"/>
          </reference>
        </references>
      </pivotArea>
    </chartFormat>
    <chartFormat chart="1" format="270" series="1">
      <pivotArea type="data" outline="0" fieldPosition="0">
        <references count="2">
          <reference field="4294967294" count="1" selected="0">
            <x v="0"/>
          </reference>
          <reference field="29" count="1" selected="0">
            <x v="18"/>
          </reference>
        </references>
      </pivotArea>
    </chartFormat>
    <chartFormat chart="1" format="271" series="1">
      <pivotArea type="data" outline="0" fieldPosition="0">
        <references count="2">
          <reference field="4294967294" count="1" selected="0">
            <x v="1"/>
          </reference>
          <reference field="29" count="1" selected="0">
            <x v="18"/>
          </reference>
        </references>
      </pivotArea>
    </chartFormat>
    <chartFormat chart="1" format="272" series="1">
      <pivotArea type="data" outline="0" fieldPosition="0">
        <references count="2">
          <reference field="4294967294" count="1" selected="0">
            <x v="0"/>
          </reference>
          <reference field="29" count="1" selected="0">
            <x v="19"/>
          </reference>
        </references>
      </pivotArea>
    </chartFormat>
    <chartFormat chart="1" format="273" series="1">
      <pivotArea type="data" outline="0" fieldPosition="0">
        <references count="2">
          <reference field="4294967294" count="1" selected="0">
            <x v="1"/>
          </reference>
          <reference field="29" count="1" selected="0">
            <x v="19"/>
          </reference>
        </references>
      </pivotArea>
    </chartFormat>
    <chartFormat chart="1" format="274" series="1">
      <pivotArea type="data" outline="0" fieldPosition="0">
        <references count="2">
          <reference field="4294967294" count="1" selected="0">
            <x v="0"/>
          </reference>
          <reference field="29" count="1" selected="0">
            <x v="20"/>
          </reference>
        </references>
      </pivotArea>
    </chartFormat>
    <chartFormat chart="1" format="275" series="1">
      <pivotArea type="data" outline="0" fieldPosition="0">
        <references count="2">
          <reference field="4294967294" count="1" selected="0">
            <x v="1"/>
          </reference>
          <reference field="29" count="1" selected="0">
            <x v="20"/>
          </reference>
        </references>
      </pivotArea>
    </chartFormat>
    <chartFormat chart="1" format="276" series="1">
      <pivotArea type="data" outline="0" fieldPosition="0">
        <references count="2">
          <reference field="4294967294" count="1" selected="0">
            <x v="0"/>
          </reference>
          <reference field="29" count="1" selected="0">
            <x v="21"/>
          </reference>
        </references>
      </pivotArea>
    </chartFormat>
    <chartFormat chart="1" format="277" series="1">
      <pivotArea type="data" outline="0" fieldPosition="0">
        <references count="2">
          <reference field="4294967294" count="1" selected="0">
            <x v="1"/>
          </reference>
          <reference field="29" count="1" selected="0">
            <x v="21"/>
          </reference>
        </references>
      </pivotArea>
    </chartFormat>
    <chartFormat chart="1" format="278" series="1">
      <pivotArea type="data" outline="0" fieldPosition="0">
        <references count="2">
          <reference field="4294967294" count="1" selected="0">
            <x v="0"/>
          </reference>
          <reference field="29" count="1" selected="0">
            <x v="22"/>
          </reference>
        </references>
      </pivotArea>
    </chartFormat>
    <chartFormat chart="1" format="279" series="1">
      <pivotArea type="data" outline="0" fieldPosition="0">
        <references count="2">
          <reference field="4294967294" count="1" selected="0">
            <x v="1"/>
          </reference>
          <reference field="29" count="1" selected="0">
            <x v="22"/>
          </reference>
        </references>
      </pivotArea>
    </chartFormat>
    <chartFormat chart="1" format="280" series="1">
      <pivotArea type="data" outline="0" fieldPosition="0">
        <references count="2">
          <reference field="4294967294" count="1" selected="0">
            <x v="0"/>
          </reference>
          <reference field="29" count="1" selected="0">
            <x v="23"/>
          </reference>
        </references>
      </pivotArea>
    </chartFormat>
    <chartFormat chart="1" format="281" series="1">
      <pivotArea type="data" outline="0" fieldPosition="0">
        <references count="2">
          <reference field="4294967294" count="1" selected="0">
            <x v="1"/>
          </reference>
          <reference field="29" count="1" selected="0">
            <x v="23"/>
          </reference>
        </references>
      </pivotArea>
    </chartFormat>
    <chartFormat chart="1" format="282" series="1">
      <pivotArea type="data" outline="0" fieldPosition="0">
        <references count="2">
          <reference field="4294967294" count="1" selected="0">
            <x v="0"/>
          </reference>
          <reference field="29" count="1" selected="0">
            <x v="24"/>
          </reference>
        </references>
      </pivotArea>
    </chartFormat>
    <chartFormat chart="1" format="283" series="1">
      <pivotArea type="data" outline="0" fieldPosition="0">
        <references count="2">
          <reference field="4294967294" count="1" selected="0">
            <x v="1"/>
          </reference>
          <reference field="29" count="1" selected="0">
            <x v="24"/>
          </reference>
        </references>
      </pivotArea>
    </chartFormat>
    <chartFormat chart="1" format="284" series="1">
      <pivotArea type="data" outline="0" fieldPosition="0">
        <references count="2">
          <reference field="4294967294" count="1" selected="0">
            <x v="0"/>
          </reference>
          <reference field="29" count="1" selected="0">
            <x v="25"/>
          </reference>
        </references>
      </pivotArea>
    </chartFormat>
    <chartFormat chart="1" format="285" series="1">
      <pivotArea type="data" outline="0" fieldPosition="0">
        <references count="2">
          <reference field="4294967294" count="1" selected="0">
            <x v="1"/>
          </reference>
          <reference field="29" count="1" selected="0">
            <x v="25"/>
          </reference>
        </references>
      </pivotArea>
    </chartFormat>
    <chartFormat chart="1" format="286" series="1">
      <pivotArea type="data" outline="0" fieldPosition="0">
        <references count="2">
          <reference field="4294967294" count="1" selected="0">
            <x v="0"/>
          </reference>
          <reference field="29" count="1" selected="0">
            <x v="26"/>
          </reference>
        </references>
      </pivotArea>
    </chartFormat>
    <chartFormat chart="1" format="287" series="1">
      <pivotArea type="data" outline="0" fieldPosition="0">
        <references count="2">
          <reference field="4294967294" count="1" selected="0">
            <x v="1"/>
          </reference>
          <reference field="29" count="1" selected="0">
            <x v="26"/>
          </reference>
        </references>
      </pivotArea>
    </chartFormat>
    <chartFormat chart="1" format="288" series="1">
      <pivotArea type="data" outline="0" fieldPosition="0">
        <references count="2">
          <reference field="4294967294" count="1" selected="0">
            <x v="0"/>
          </reference>
          <reference field="29" count="1" selected="0">
            <x v="27"/>
          </reference>
        </references>
      </pivotArea>
    </chartFormat>
    <chartFormat chart="1" format="289" series="1">
      <pivotArea type="data" outline="0" fieldPosition="0">
        <references count="2">
          <reference field="4294967294" count="1" selected="0">
            <x v="1"/>
          </reference>
          <reference field="29" count="1" selected="0">
            <x v="27"/>
          </reference>
        </references>
      </pivotArea>
    </chartFormat>
    <chartFormat chart="1" format="290" series="1">
      <pivotArea type="data" outline="0" fieldPosition="0">
        <references count="2">
          <reference field="4294967294" count="1" selected="0">
            <x v="0"/>
          </reference>
          <reference field="29" count="1" selected="0">
            <x v="28"/>
          </reference>
        </references>
      </pivotArea>
    </chartFormat>
    <chartFormat chart="1" format="291" series="1">
      <pivotArea type="data" outline="0" fieldPosition="0">
        <references count="2">
          <reference field="4294967294" count="1" selected="0">
            <x v="1"/>
          </reference>
          <reference field="29" count="1" selected="0">
            <x v="28"/>
          </reference>
        </references>
      </pivotArea>
    </chartFormat>
    <chartFormat chart="1" format="292" series="1">
      <pivotArea type="data" outline="0" fieldPosition="0">
        <references count="2">
          <reference field="4294967294" count="1" selected="0">
            <x v="0"/>
          </reference>
          <reference field="29" count="1" selected="0">
            <x v="29"/>
          </reference>
        </references>
      </pivotArea>
    </chartFormat>
    <chartFormat chart="1" format="293" series="1">
      <pivotArea type="data" outline="0" fieldPosition="0">
        <references count="2">
          <reference field="4294967294" count="1" selected="0">
            <x v="1"/>
          </reference>
          <reference field="29" count="1" selected="0">
            <x v="29"/>
          </reference>
        </references>
      </pivotArea>
    </chartFormat>
    <chartFormat chart="1" format="294" series="1">
      <pivotArea type="data" outline="0" fieldPosition="0">
        <references count="2">
          <reference field="4294967294" count="1" selected="0">
            <x v="0"/>
          </reference>
          <reference field="29" count="1" selected="0">
            <x v="30"/>
          </reference>
        </references>
      </pivotArea>
    </chartFormat>
    <chartFormat chart="1" format="295" series="1">
      <pivotArea type="data" outline="0" fieldPosition="0">
        <references count="2">
          <reference field="4294967294" count="1" selected="0">
            <x v="1"/>
          </reference>
          <reference field="29" count="1" selected="0">
            <x v="30"/>
          </reference>
        </references>
      </pivotArea>
    </chartFormat>
    <chartFormat chart="1" format="296" series="1">
      <pivotArea type="data" outline="0" fieldPosition="0">
        <references count="2">
          <reference field="4294967294" count="1" selected="0">
            <x v="0"/>
          </reference>
          <reference field="29" count="1" selected="0">
            <x v="31"/>
          </reference>
        </references>
      </pivotArea>
    </chartFormat>
    <chartFormat chart="1" format="297" series="1">
      <pivotArea type="data" outline="0" fieldPosition="0">
        <references count="2">
          <reference field="4294967294" count="1" selected="0">
            <x v="1"/>
          </reference>
          <reference field="29" count="1" selected="0">
            <x v="31"/>
          </reference>
        </references>
      </pivotArea>
    </chartFormat>
    <chartFormat chart="1" format="298" series="1">
      <pivotArea type="data" outline="0" fieldPosition="0">
        <references count="2">
          <reference field="4294967294" count="1" selected="0">
            <x v="0"/>
          </reference>
          <reference field="29" count="1" selected="0">
            <x v="32"/>
          </reference>
        </references>
      </pivotArea>
    </chartFormat>
    <chartFormat chart="1" format="299" series="1">
      <pivotArea type="data" outline="0" fieldPosition="0">
        <references count="2">
          <reference field="4294967294" count="1" selected="0">
            <x v="1"/>
          </reference>
          <reference field="29" count="1" selected="0">
            <x v="32"/>
          </reference>
        </references>
      </pivotArea>
    </chartFormat>
    <chartFormat chart="1" format="300" series="1">
      <pivotArea type="data" outline="0" fieldPosition="0">
        <references count="2">
          <reference field="4294967294" count="1" selected="0">
            <x v="0"/>
          </reference>
          <reference field="29" count="1" selected="0">
            <x v="33"/>
          </reference>
        </references>
      </pivotArea>
    </chartFormat>
    <chartFormat chart="1" format="301" series="1">
      <pivotArea type="data" outline="0" fieldPosition="0">
        <references count="2">
          <reference field="4294967294" count="1" selected="0">
            <x v="1"/>
          </reference>
          <reference field="29" count="1" selected="0">
            <x v="33"/>
          </reference>
        </references>
      </pivotArea>
    </chartFormat>
    <chartFormat chart="1" format="302" series="1">
      <pivotArea type="data" outline="0" fieldPosition="0">
        <references count="2">
          <reference field="4294967294" count="1" selected="0">
            <x v="0"/>
          </reference>
          <reference field="29" count="1" selected="0">
            <x v="34"/>
          </reference>
        </references>
      </pivotArea>
    </chartFormat>
    <chartFormat chart="1" format="303" series="1">
      <pivotArea type="data" outline="0" fieldPosition="0">
        <references count="2">
          <reference field="4294967294" count="1" selected="0">
            <x v="1"/>
          </reference>
          <reference field="29" count="1" selected="0">
            <x v="34"/>
          </reference>
        </references>
      </pivotArea>
    </chartFormat>
    <chartFormat chart="1" format="304" series="1">
      <pivotArea type="data" outline="0" fieldPosition="0">
        <references count="2">
          <reference field="4294967294" count="1" selected="0">
            <x v="0"/>
          </reference>
          <reference field="29" count="1" selected="0">
            <x v="35"/>
          </reference>
        </references>
      </pivotArea>
    </chartFormat>
    <chartFormat chart="1" format="305" series="1">
      <pivotArea type="data" outline="0" fieldPosition="0">
        <references count="2">
          <reference field="4294967294" count="1" selected="0">
            <x v="1"/>
          </reference>
          <reference field="29" count="1" selected="0">
            <x v="35"/>
          </reference>
        </references>
      </pivotArea>
    </chartFormat>
    <chartFormat chart="1" format="306" series="1">
      <pivotArea type="data" outline="0" fieldPosition="0">
        <references count="2">
          <reference field="4294967294" count="1" selected="0">
            <x v="0"/>
          </reference>
          <reference field="29" count="1" selected="0">
            <x v="36"/>
          </reference>
        </references>
      </pivotArea>
    </chartFormat>
    <chartFormat chart="1" format="307" series="1">
      <pivotArea type="data" outline="0" fieldPosition="0">
        <references count="2">
          <reference field="4294967294" count="1" selected="0">
            <x v="1"/>
          </reference>
          <reference field="29" count="1" selected="0">
            <x v="36"/>
          </reference>
        </references>
      </pivotArea>
    </chartFormat>
    <chartFormat chart="1" format="308" series="1">
      <pivotArea type="data" outline="0" fieldPosition="0">
        <references count="2">
          <reference field="4294967294" count="1" selected="0">
            <x v="0"/>
          </reference>
          <reference field="29" count="1" selected="0">
            <x v="37"/>
          </reference>
        </references>
      </pivotArea>
    </chartFormat>
    <chartFormat chart="1" format="309" series="1">
      <pivotArea type="data" outline="0" fieldPosition="0">
        <references count="2">
          <reference field="4294967294" count="1" selected="0">
            <x v="1"/>
          </reference>
          <reference field="29" count="1" selected="0">
            <x v="37"/>
          </reference>
        </references>
      </pivotArea>
    </chartFormat>
    <chartFormat chart="1" format="310" series="1">
      <pivotArea type="data" outline="0" fieldPosition="0">
        <references count="2">
          <reference field="4294967294" count="1" selected="0">
            <x v="0"/>
          </reference>
          <reference field="29" count="1" selected="0">
            <x v="38"/>
          </reference>
        </references>
      </pivotArea>
    </chartFormat>
    <chartFormat chart="1" format="311" series="1">
      <pivotArea type="data" outline="0" fieldPosition="0">
        <references count="2">
          <reference field="4294967294" count="1" selected="0">
            <x v="1"/>
          </reference>
          <reference field="29" count="1" selected="0">
            <x v="38"/>
          </reference>
        </references>
      </pivotArea>
    </chartFormat>
    <chartFormat chart="2" format="312" series="1">
      <pivotArea type="data" outline="0" fieldPosition="0">
        <references count="2">
          <reference field="4294967294" count="1" selected="0">
            <x v="0"/>
          </reference>
          <reference field="29" count="1" selected="0">
            <x v="0"/>
          </reference>
        </references>
      </pivotArea>
    </chartFormat>
    <chartFormat chart="2" format="313" series="1">
      <pivotArea type="data" outline="0" fieldPosition="0">
        <references count="2">
          <reference field="4294967294" count="1" selected="0">
            <x v="1"/>
          </reference>
          <reference field="29" count="1" selected="0">
            <x v="0"/>
          </reference>
        </references>
      </pivotArea>
    </chartFormat>
    <chartFormat chart="2" format="314" series="1">
      <pivotArea type="data" outline="0" fieldPosition="0">
        <references count="2">
          <reference field="4294967294" count="1" selected="0">
            <x v="0"/>
          </reference>
          <reference field="29" count="1" selected="0">
            <x v="1"/>
          </reference>
        </references>
      </pivotArea>
    </chartFormat>
    <chartFormat chart="2" format="315" series="1">
      <pivotArea type="data" outline="0" fieldPosition="0">
        <references count="2">
          <reference field="4294967294" count="1" selected="0">
            <x v="1"/>
          </reference>
          <reference field="29" count="1" selected="0">
            <x v="1"/>
          </reference>
        </references>
      </pivotArea>
    </chartFormat>
    <chartFormat chart="2" format="316" series="1">
      <pivotArea type="data" outline="0" fieldPosition="0">
        <references count="2">
          <reference field="4294967294" count="1" selected="0">
            <x v="0"/>
          </reference>
          <reference field="29" count="1" selected="0">
            <x v="2"/>
          </reference>
        </references>
      </pivotArea>
    </chartFormat>
    <chartFormat chart="2" format="317" series="1">
      <pivotArea type="data" outline="0" fieldPosition="0">
        <references count="2">
          <reference field="4294967294" count="1" selected="0">
            <x v="1"/>
          </reference>
          <reference field="29" count="1" selected="0">
            <x v="2"/>
          </reference>
        </references>
      </pivotArea>
    </chartFormat>
    <chartFormat chart="2" format="318" series="1">
      <pivotArea type="data" outline="0" fieldPosition="0">
        <references count="2">
          <reference field="4294967294" count="1" selected="0">
            <x v="0"/>
          </reference>
          <reference field="29" count="1" selected="0">
            <x v="3"/>
          </reference>
        </references>
      </pivotArea>
    </chartFormat>
    <chartFormat chart="2" format="319" series="1">
      <pivotArea type="data" outline="0" fieldPosition="0">
        <references count="2">
          <reference field="4294967294" count="1" selected="0">
            <x v="1"/>
          </reference>
          <reference field="29" count="1" selected="0">
            <x v="3"/>
          </reference>
        </references>
      </pivotArea>
    </chartFormat>
    <chartFormat chart="2" format="320" series="1">
      <pivotArea type="data" outline="0" fieldPosition="0">
        <references count="2">
          <reference field="4294967294" count="1" selected="0">
            <x v="0"/>
          </reference>
          <reference field="29" count="1" selected="0">
            <x v="4"/>
          </reference>
        </references>
      </pivotArea>
    </chartFormat>
    <chartFormat chart="2" format="321" series="1">
      <pivotArea type="data" outline="0" fieldPosition="0">
        <references count="2">
          <reference field="4294967294" count="1" selected="0">
            <x v="1"/>
          </reference>
          <reference field="29" count="1" selected="0">
            <x v="4"/>
          </reference>
        </references>
      </pivotArea>
    </chartFormat>
    <chartFormat chart="2" format="322" series="1">
      <pivotArea type="data" outline="0" fieldPosition="0">
        <references count="2">
          <reference field="4294967294" count="1" selected="0">
            <x v="0"/>
          </reference>
          <reference field="29" count="1" selected="0">
            <x v="5"/>
          </reference>
        </references>
      </pivotArea>
    </chartFormat>
    <chartFormat chart="2" format="323" series="1">
      <pivotArea type="data" outline="0" fieldPosition="0">
        <references count="2">
          <reference field="4294967294" count="1" selected="0">
            <x v="1"/>
          </reference>
          <reference field="29" count="1" selected="0">
            <x v="5"/>
          </reference>
        </references>
      </pivotArea>
    </chartFormat>
    <chartFormat chart="2" format="324" series="1">
      <pivotArea type="data" outline="0" fieldPosition="0">
        <references count="2">
          <reference field="4294967294" count="1" selected="0">
            <x v="0"/>
          </reference>
          <reference field="29" count="1" selected="0">
            <x v="6"/>
          </reference>
        </references>
      </pivotArea>
    </chartFormat>
    <chartFormat chart="2" format="325" series="1">
      <pivotArea type="data" outline="0" fieldPosition="0">
        <references count="2">
          <reference field="4294967294" count="1" selected="0">
            <x v="1"/>
          </reference>
          <reference field="29" count="1" selected="0">
            <x v="6"/>
          </reference>
        </references>
      </pivotArea>
    </chartFormat>
    <chartFormat chart="2" format="326" series="1">
      <pivotArea type="data" outline="0" fieldPosition="0">
        <references count="2">
          <reference field="4294967294" count="1" selected="0">
            <x v="0"/>
          </reference>
          <reference field="29" count="1" selected="0">
            <x v="7"/>
          </reference>
        </references>
      </pivotArea>
    </chartFormat>
    <chartFormat chart="2" format="327" series="1">
      <pivotArea type="data" outline="0" fieldPosition="0">
        <references count="2">
          <reference field="4294967294" count="1" selected="0">
            <x v="1"/>
          </reference>
          <reference field="29" count="1" selected="0">
            <x v="7"/>
          </reference>
        </references>
      </pivotArea>
    </chartFormat>
    <chartFormat chart="2" format="328" series="1">
      <pivotArea type="data" outline="0" fieldPosition="0">
        <references count="2">
          <reference field="4294967294" count="1" selected="0">
            <x v="0"/>
          </reference>
          <reference field="29" count="1" selected="0">
            <x v="8"/>
          </reference>
        </references>
      </pivotArea>
    </chartFormat>
    <chartFormat chart="2" format="329" series="1">
      <pivotArea type="data" outline="0" fieldPosition="0">
        <references count="2">
          <reference field="4294967294" count="1" selected="0">
            <x v="1"/>
          </reference>
          <reference field="29" count="1" selected="0">
            <x v="8"/>
          </reference>
        </references>
      </pivotArea>
    </chartFormat>
    <chartFormat chart="2" format="330" series="1">
      <pivotArea type="data" outline="0" fieldPosition="0">
        <references count="2">
          <reference field="4294967294" count="1" selected="0">
            <x v="0"/>
          </reference>
          <reference field="29" count="1" selected="0">
            <x v="9"/>
          </reference>
        </references>
      </pivotArea>
    </chartFormat>
    <chartFormat chart="2" format="331" series="1">
      <pivotArea type="data" outline="0" fieldPosition="0">
        <references count="2">
          <reference field="4294967294" count="1" selected="0">
            <x v="1"/>
          </reference>
          <reference field="29" count="1" selected="0">
            <x v="9"/>
          </reference>
        </references>
      </pivotArea>
    </chartFormat>
    <chartFormat chart="2" format="332" series="1">
      <pivotArea type="data" outline="0" fieldPosition="0">
        <references count="2">
          <reference field="4294967294" count="1" selected="0">
            <x v="0"/>
          </reference>
          <reference field="29" count="1" selected="0">
            <x v="10"/>
          </reference>
        </references>
      </pivotArea>
    </chartFormat>
    <chartFormat chart="2" format="333" series="1">
      <pivotArea type="data" outline="0" fieldPosition="0">
        <references count="2">
          <reference field="4294967294" count="1" selected="0">
            <x v="1"/>
          </reference>
          <reference field="29" count="1" selected="0">
            <x v="10"/>
          </reference>
        </references>
      </pivotArea>
    </chartFormat>
    <chartFormat chart="2" format="334" series="1">
      <pivotArea type="data" outline="0" fieldPosition="0">
        <references count="2">
          <reference field="4294967294" count="1" selected="0">
            <x v="0"/>
          </reference>
          <reference field="29" count="1" selected="0">
            <x v="11"/>
          </reference>
        </references>
      </pivotArea>
    </chartFormat>
    <chartFormat chart="2" format="335" series="1">
      <pivotArea type="data" outline="0" fieldPosition="0">
        <references count="2">
          <reference field="4294967294" count="1" selected="0">
            <x v="1"/>
          </reference>
          <reference field="29" count="1" selected="0">
            <x v="11"/>
          </reference>
        </references>
      </pivotArea>
    </chartFormat>
    <chartFormat chart="2" format="336" series="1">
      <pivotArea type="data" outline="0" fieldPosition="0">
        <references count="2">
          <reference field="4294967294" count="1" selected="0">
            <x v="0"/>
          </reference>
          <reference field="29" count="1" selected="0">
            <x v="12"/>
          </reference>
        </references>
      </pivotArea>
    </chartFormat>
    <chartFormat chart="2" format="337" series="1">
      <pivotArea type="data" outline="0" fieldPosition="0">
        <references count="2">
          <reference field="4294967294" count="1" selected="0">
            <x v="1"/>
          </reference>
          <reference field="29" count="1" selected="0">
            <x v="12"/>
          </reference>
        </references>
      </pivotArea>
    </chartFormat>
    <chartFormat chart="2" format="338" series="1">
      <pivotArea type="data" outline="0" fieldPosition="0">
        <references count="2">
          <reference field="4294967294" count="1" selected="0">
            <x v="0"/>
          </reference>
          <reference field="29" count="1" selected="0">
            <x v="13"/>
          </reference>
        </references>
      </pivotArea>
    </chartFormat>
    <chartFormat chart="2" format="339" series="1">
      <pivotArea type="data" outline="0" fieldPosition="0">
        <references count="2">
          <reference field="4294967294" count="1" selected="0">
            <x v="1"/>
          </reference>
          <reference field="29" count="1" selected="0">
            <x v="13"/>
          </reference>
        </references>
      </pivotArea>
    </chartFormat>
    <chartFormat chart="2" format="340" series="1">
      <pivotArea type="data" outline="0" fieldPosition="0">
        <references count="2">
          <reference field="4294967294" count="1" selected="0">
            <x v="0"/>
          </reference>
          <reference field="29" count="1" selected="0">
            <x v="14"/>
          </reference>
        </references>
      </pivotArea>
    </chartFormat>
    <chartFormat chart="2" format="341" series="1">
      <pivotArea type="data" outline="0" fieldPosition="0">
        <references count="2">
          <reference field="4294967294" count="1" selected="0">
            <x v="1"/>
          </reference>
          <reference field="29" count="1" selected="0">
            <x v="14"/>
          </reference>
        </references>
      </pivotArea>
    </chartFormat>
    <chartFormat chart="2" format="342" series="1">
      <pivotArea type="data" outline="0" fieldPosition="0">
        <references count="2">
          <reference field="4294967294" count="1" selected="0">
            <x v="0"/>
          </reference>
          <reference field="29" count="1" selected="0">
            <x v="15"/>
          </reference>
        </references>
      </pivotArea>
    </chartFormat>
    <chartFormat chart="2" format="343" series="1">
      <pivotArea type="data" outline="0" fieldPosition="0">
        <references count="2">
          <reference field="4294967294" count="1" selected="0">
            <x v="1"/>
          </reference>
          <reference field="29" count="1" selected="0">
            <x v="15"/>
          </reference>
        </references>
      </pivotArea>
    </chartFormat>
    <chartFormat chart="2" format="344" series="1">
      <pivotArea type="data" outline="0" fieldPosition="0">
        <references count="2">
          <reference field="4294967294" count="1" selected="0">
            <x v="0"/>
          </reference>
          <reference field="29" count="1" selected="0">
            <x v="16"/>
          </reference>
        </references>
      </pivotArea>
    </chartFormat>
    <chartFormat chart="2" format="345" series="1">
      <pivotArea type="data" outline="0" fieldPosition="0">
        <references count="2">
          <reference field="4294967294" count="1" selected="0">
            <x v="1"/>
          </reference>
          <reference field="29" count="1" selected="0">
            <x v="16"/>
          </reference>
        </references>
      </pivotArea>
    </chartFormat>
    <chartFormat chart="2" format="346" series="1">
      <pivotArea type="data" outline="0" fieldPosition="0">
        <references count="2">
          <reference field="4294967294" count="1" selected="0">
            <x v="0"/>
          </reference>
          <reference field="29" count="1" selected="0">
            <x v="17"/>
          </reference>
        </references>
      </pivotArea>
    </chartFormat>
    <chartFormat chart="2" format="347" series="1">
      <pivotArea type="data" outline="0" fieldPosition="0">
        <references count="2">
          <reference field="4294967294" count="1" selected="0">
            <x v="1"/>
          </reference>
          <reference field="29" count="1" selected="0">
            <x v="17"/>
          </reference>
        </references>
      </pivotArea>
    </chartFormat>
    <chartFormat chart="2" format="348" series="1">
      <pivotArea type="data" outline="0" fieldPosition="0">
        <references count="2">
          <reference field="4294967294" count="1" selected="0">
            <x v="0"/>
          </reference>
          <reference field="29" count="1" selected="0">
            <x v="18"/>
          </reference>
        </references>
      </pivotArea>
    </chartFormat>
    <chartFormat chart="2" format="349" series="1">
      <pivotArea type="data" outline="0" fieldPosition="0">
        <references count="2">
          <reference field="4294967294" count="1" selected="0">
            <x v="1"/>
          </reference>
          <reference field="29" count="1" selected="0">
            <x v="18"/>
          </reference>
        </references>
      </pivotArea>
    </chartFormat>
    <chartFormat chart="2" format="350" series="1">
      <pivotArea type="data" outline="0" fieldPosition="0">
        <references count="2">
          <reference field="4294967294" count="1" selected="0">
            <x v="0"/>
          </reference>
          <reference field="29" count="1" selected="0">
            <x v="19"/>
          </reference>
        </references>
      </pivotArea>
    </chartFormat>
    <chartFormat chart="2" format="351" series="1">
      <pivotArea type="data" outline="0" fieldPosition="0">
        <references count="2">
          <reference field="4294967294" count="1" selected="0">
            <x v="1"/>
          </reference>
          <reference field="29" count="1" selected="0">
            <x v="19"/>
          </reference>
        </references>
      </pivotArea>
    </chartFormat>
    <chartFormat chart="2" format="352" series="1">
      <pivotArea type="data" outline="0" fieldPosition="0">
        <references count="2">
          <reference field="4294967294" count="1" selected="0">
            <x v="0"/>
          </reference>
          <reference field="29" count="1" selected="0">
            <x v="20"/>
          </reference>
        </references>
      </pivotArea>
    </chartFormat>
    <chartFormat chart="2" format="353" series="1">
      <pivotArea type="data" outline="0" fieldPosition="0">
        <references count="2">
          <reference field="4294967294" count="1" selected="0">
            <x v="1"/>
          </reference>
          <reference field="29" count="1" selected="0">
            <x v="20"/>
          </reference>
        </references>
      </pivotArea>
    </chartFormat>
    <chartFormat chart="2" format="354" series="1">
      <pivotArea type="data" outline="0" fieldPosition="0">
        <references count="2">
          <reference field="4294967294" count="1" selected="0">
            <x v="0"/>
          </reference>
          <reference field="29" count="1" selected="0">
            <x v="21"/>
          </reference>
        </references>
      </pivotArea>
    </chartFormat>
    <chartFormat chart="2" format="355" series="1">
      <pivotArea type="data" outline="0" fieldPosition="0">
        <references count="2">
          <reference field="4294967294" count="1" selected="0">
            <x v="1"/>
          </reference>
          <reference field="29" count="1" selected="0">
            <x v="21"/>
          </reference>
        </references>
      </pivotArea>
    </chartFormat>
    <chartFormat chart="2" format="356" series="1">
      <pivotArea type="data" outline="0" fieldPosition="0">
        <references count="2">
          <reference field="4294967294" count="1" selected="0">
            <x v="0"/>
          </reference>
          <reference field="29" count="1" selected="0">
            <x v="22"/>
          </reference>
        </references>
      </pivotArea>
    </chartFormat>
    <chartFormat chart="2" format="357" series="1">
      <pivotArea type="data" outline="0" fieldPosition="0">
        <references count="2">
          <reference field="4294967294" count="1" selected="0">
            <x v="1"/>
          </reference>
          <reference field="29" count="1" selected="0">
            <x v="22"/>
          </reference>
        </references>
      </pivotArea>
    </chartFormat>
    <chartFormat chart="2" format="358" series="1">
      <pivotArea type="data" outline="0" fieldPosition="0">
        <references count="2">
          <reference field="4294967294" count="1" selected="0">
            <x v="0"/>
          </reference>
          <reference field="29" count="1" selected="0">
            <x v="23"/>
          </reference>
        </references>
      </pivotArea>
    </chartFormat>
    <chartFormat chart="2" format="359" series="1">
      <pivotArea type="data" outline="0" fieldPosition="0">
        <references count="2">
          <reference field="4294967294" count="1" selected="0">
            <x v="1"/>
          </reference>
          <reference field="29" count="1" selected="0">
            <x v="23"/>
          </reference>
        </references>
      </pivotArea>
    </chartFormat>
    <chartFormat chart="2" format="360" series="1">
      <pivotArea type="data" outline="0" fieldPosition="0">
        <references count="2">
          <reference field="4294967294" count="1" selected="0">
            <x v="0"/>
          </reference>
          <reference field="29" count="1" selected="0">
            <x v="24"/>
          </reference>
        </references>
      </pivotArea>
    </chartFormat>
    <chartFormat chart="2" format="361" series="1">
      <pivotArea type="data" outline="0" fieldPosition="0">
        <references count="2">
          <reference field="4294967294" count="1" selected="0">
            <x v="1"/>
          </reference>
          <reference field="29" count="1" selected="0">
            <x v="24"/>
          </reference>
        </references>
      </pivotArea>
    </chartFormat>
    <chartFormat chart="2" format="362" series="1">
      <pivotArea type="data" outline="0" fieldPosition="0">
        <references count="2">
          <reference field="4294967294" count="1" selected="0">
            <x v="0"/>
          </reference>
          <reference field="29" count="1" selected="0">
            <x v="25"/>
          </reference>
        </references>
      </pivotArea>
    </chartFormat>
    <chartFormat chart="2" format="363" series="1">
      <pivotArea type="data" outline="0" fieldPosition="0">
        <references count="2">
          <reference field="4294967294" count="1" selected="0">
            <x v="1"/>
          </reference>
          <reference field="29" count="1" selected="0">
            <x v="25"/>
          </reference>
        </references>
      </pivotArea>
    </chartFormat>
    <chartFormat chart="2" format="364" series="1">
      <pivotArea type="data" outline="0" fieldPosition="0">
        <references count="2">
          <reference field="4294967294" count="1" selected="0">
            <x v="0"/>
          </reference>
          <reference field="29" count="1" selected="0">
            <x v="26"/>
          </reference>
        </references>
      </pivotArea>
    </chartFormat>
    <chartFormat chart="2" format="365" series="1">
      <pivotArea type="data" outline="0" fieldPosition="0">
        <references count="2">
          <reference field="4294967294" count="1" selected="0">
            <x v="1"/>
          </reference>
          <reference field="29" count="1" selected="0">
            <x v="26"/>
          </reference>
        </references>
      </pivotArea>
    </chartFormat>
    <chartFormat chart="2" format="366" series="1">
      <pivotArea type="data" outline="0" fieldPosition="0">
        <references count="2">
          <reference field="4294967294" count="1" selected="0">
            <x v="0"/>
          </reference>
          <reference field="29" count="1" selected="0">
            <x v="27"/>
          </reference>
        </references>
      </pivotArea>
    </chartFormat>
    <chartFormat chart="2" format="367" series="1">
      <pivotArea type="data" outline="0" fieldPosition="0">
        <references count="2">
          <reference field="4294967294" count="1" selected="0">
            <x v="1"/>
          </reference>
          <reference field="29" count="1" selected="0">
            <x v="27"/>
          </reference>
        </references>
      </pivotArea>
    </chartFormat>
    <chartFormat chart="2" format="368" series="1">
      <pivotArea type="data" outline="0" fieldPosition="0">
        <references count="2">
          <reference field="4294967294" count="1" selected="0">
            <x v="0"/>
          </reference>
          <reference field="29" count="1" selected="0">
            <x v="28"/>
          </reference>
        </references>
      </pivotArea>
    </chartFormat>
    <chartFormat chart="2" format="369" series="1">
      <pivotArea type="data" outline="0" fieldPosition="0">
        <references count="2">
          <reference field="4294967294" count="1" selected="0">
            <x v="1"/>
          </reference>
          <reference field="29" count="1" selected="0">
            <x v="28"/>
          </reference>
        </references>
      </pivotArea>
    </chartFormat>
    <chartFormat chart="2" format="370" series="1">
      <pivotArea type="data" outline="0" fieldPosition="0">
        <references count="2">
          <reference field="4294967294" count="1" selected="0">
            <x v="0"/>
          </reference>
          <reference field="29" count="1" selected="0">
            <x v="29"/>
          </reference>
        </references>
      </pivotArea>
    </chartFormat>
    <chartFormat chart="2" format="371" series="1">
      <pivotArea type="data" outline="0" fieldPosition="0">
        <references count="2">
          <reference field="4294967294" count="1" selected="0">
            <x v="1"/>
          </reference>
          <reference field="29" count="1" selected="0">
            <x v="29"/>
          </reference>
        </references>
      </pivotArea>
    </chartFormat>
    <chartFormat chart="2" format="372" series="1">
      <pivotArea type="data" outline="0" fieldPosition="0">
        <references count="2">
          <reference field="4294967294" count="1" selected="0">
            <x v="0"/>
          </reference>
          <reference field="29" count="1" selected="0">
            <x v="30"/>
          </reference>
        </references>
      </pivotArea>
    </chartFormat>
    <chartFormat chart="2" format="373" series="1">
      <pivotArea type="data" outline="0" fieldPosition="0">
        <references count="2">
          <reference field="4294967294" count="1" selected="0">
            <x v="1"/>
          </reference>
          <reference field="29" count="1" selected="0">
            <x v="30"/>
          </reference>
        </references>
      </pivotArea>
    </chartFormat>
    <chartFormat chart="2" format="374" series="1">
      <pivotArea type="data" outline="0" fieldPosition="0">
        <references count="2">
          <reference field="4294967294" count="1" selected="0">
            <x v="0"/>
          </reference>
          <reference field="29" count="1" selected="0">
            <x v="31"/>
          </reference>
        </references>
      </pivotArea>
    </chartFormat>
    <chartFormat chart="2" format="375" series="1">
      <pivotArea type="data" outline="0" fieldPosition="0">
        <references count="2">
          <reference field="4294967294" count="1" selected="0">
            <x v="1"/>
          </reference>
          <reference field="29" count="1" selected="0">
            <x v="31"/>
          </reference>
        </references>
      </pivotArea>
    </chartFormat>
    <chartFormat chart="2" format="376" series="1">
      <pivotArea type="data" outline="0" fieldPosition="0">
        <references count="2">
          <reference field="4294967294" count="1" selected="0">
            <x v="0"/>
          </reference>
          <reference field="29" count="1" selected="0">
            <x v="32"/>
          </reference>
        </references>
      </pivotArea>
    </chartFormat>
    <chartFormat chart="2" format="377" series="1">
      <pivotArea type="data" outline="0" fieldPosition="0">
        <references count="2">
          <reference field="4294967294" count="1" selected="0">
            <x v="1"/>
          </reference>
          <reference field="29" count="1" selected="0">
            <x v="32"/>
          </reference>
        </references>
      </pivotArea>
    </chartFormat>
    <chartFormat chart="2" format="378" series="1">
      <pivotArea type="data" outline="0" fieldPosition="0">
        <references count="2">
          <reference field="4294967294" count="1" selected="0">
            <x v="0"/>
          </reference>
          <reference field="29" count="1" selected="0">
            <x v="33"/>
          </reference>
        </references>
      </pivotArea>
    </chartFormat>
    <chartFormat chart="2" format="379" series="1">
      <pivotArea type="data" outline="0" fieldPosition="0">
        <references count="2">
          <reference field="4294967294" count="1" selected="0">
            <x v="1"/>
          </reference>
          <reference field="29" count="1" selected="0">
            <x v="33"/>
          </reference>
        </references>
      </pivotArea>
    </chartFormat>
    <chartFormat chart="2" format="380" series="1">
      <pivotArea type="data" outline="0" fieldPosition="0">
        <references count="2">
          <reference field="4294967294" count="1" selected="0">
            <x v="0"/>
          </reference>
          <reference field="29" count="1" selected="0">
            <x v="34"/>
          </reference>
        </references>
      </pivotArea>
    </chartFormat>
    <chartFormat chart="2" format="381" series="1">
      <pivotArea type="data" outline="0" fieldPosition="0">
        <references count="2">
          <reference field="4294967294" count="1" selected="0">
            <x v="1"/>
          </reference>
          <reference field="29" count="1" selected="0">
            <x v="34"/>
          </reference>
        </references>
      </pivotArea>
    </chartFormat>
    <chartFormat chart="2" format="382" series="1">
      <pivotArea type="data" outline="0" fieldPosition="0">
        <references count="2">
          <reference field="4294967294" count="1" selected="0">
            <x v="0"/>
          </reference>
          <reference field="29" count="1" selected="0">
            <x v="35"/>
          </reference>
        </references>
      </pivotArea>
    </chartFormat>
    <chartFormat chart="2" format="383" series="1">
      <pivotArea type="data" outline="0" fieldPosition="0">
        <references count="2">
          <reference field="4294967294" count="1" selected="0">
            <x v="1"/>
          </reference>
          <reference field="29" count="1" selected="0">
            <x v="35"/>
          </reference>
        </references>
      </pivotArea>
    </chartFormat>
    <chartFormat chart="2" format="384" series="1">
      <pivotArea type="data" outline="0" fieldPosition="0">
        <references count="2">
          <reference field="4294967294" count="1" selected="0">
            <x v="0"/>
          </reference>
          <reference field="29" count="1" selected="0">
            <x v="36"/>
          </reference>
        </references>
      </pivotArea>
    </chartFormat>
    <chartFormat chart="2" format="385" series="1">
      <pivotArea type="data" outline="0" fieldPosition="0">
        <references count="2">
          <reference field="4294967294" count="1" selected="0">
            <x v="1"/>
          </reference>
          <reference field="29" count="1" selected="0">
            <x v="36"/>
          </reference>
        </references>
      </pivotArea>
    </chartFormat>
    <chartFormat chart="2" format="386" series="1">
      <pivotArea type="data" outline="0" fieldPosition="0">
        <references count="2">
          <reference field="4294967294" count="1" selected="0">
            <x v="0"/>
          </reference>
          <reference field="29" count="1" selected="0">
            <x v="37"/>
          </reference>
        </references>
      </pivotArea>
    </chartFormat>
    <chartFormat chart="2" format="387" series="1">
      <pivotArea type="data" outline="0" fieldPosition="0">
        <references count="2">
          <reference field="4294967294" count="1" selected="0">
            <x v="1"/>
          </reference>
          <reference field="29" count="1" selected="0">
            <x v="37"/>
          </reference>
        </references>
      </pivotArea>
    </chartFormat>
    <chartFormat chart="2" format="388" series="1">
      <pivotArea type="data" outline="0" fieldPosition="0">
        <references count="2">
          <reference field="4294967294" count="1" selected="0">
            <x v="0"/>
          </reference>
          <reference field="29" count="1" selected="0">
            <x v="38"/>
          </reference>
        </references>
      </pivotArea>
    </chartFormat>
    <chartFormat chart="2" format="389" series="1">
      <pivotArea type="data" outline="0" fieldPosition="0">
        <references count="2">
          <reference field="4294967294" count="1" selected="0">
            <x v="1"/>
          </reference>
          <reference field="29" count="1" selected="0">
            <x v="38"/>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1" xr16:uid="{00000000-0016-0000-0700-000000000000}" autoFormatId="0" applyNumberFormats="0" applyBorderFormats="0" applyFontFormats="1" applyPatternFormats="1" applyAlignmentFormats="0" applyWidthHeightFormats="0">
  <queryTableRefresh preserveSortFilterLayout="0" nextId="31">
    <queryTableFields count="30">
      <queryTableField id="1" name="ProjectID" tableColumnId="31"/>
      <queryTableField id="2" name="Rel_D" tableColumnId="32"/>
      <queryTableField id="3" name="Run_D" tableColumnId="33"/>
      <queryTableField id="4" name="OrgID" tableColumnId="34"/>
      <queryTableField id="5" name="All currently registered regular patients aged 18+" tableColumnId="35"/>
      <queryTableField id="6" name="A. Patients on the diabetes register" tableColumnId="36"/>
      <queryTableField id="7" name="Type 2 diabetics" tableColumnId="37"/>
      <queryTableField id="8" name="1 Diabetes review recorded or proxy 12m" tableColumnId="38"/>
      <queryTableField id="9" name="Eligible for triple target" tableColumnId="39"/>
      <queryTableField id="10" name="3 Triple target achieved" tableColumnId="40"/>
      <queryTableField id="11" name="B. Patients on the COPD register" tableColumnId="41"/>
      <queryTableField id="12" name="4 COPD review coded or proxy (MRC) 12m" tableColumnId="42"/>
      <queryTableField id="13" name="7 COPD action plan recorded 12m" tableColumnId="43"/>
      <queryTableField id="14" name="6 CAT Score &amp; MRC scale recorded" tableColumnId="44"/>
      <queryTableField id="15" name="C. Patients on the asthma register" tableColumnId="45"/>
      <queryTableField id="16" name="8 Asthma review coded or proxy (inhaler technique) 12m" tableColumnId="46"/>
      <queryTableField id="17" name="10 Asthma Action Plan recorded 12m" tableColumnId="47"/>
      <queryTableField id="18" name="11 ACT recorded" tableColumnId="48"/>
      <queryTableField id="19" name="D. Patients on the hypertension register" tableColumnId="49"/>
      <queryTableField id="20" name="15 On target" tableColumnId="50"/>
      <queryTableField id="21" name="Off target" tableColumnId="51"/>
      <queryTableField id="22" name="12 Off target, with clinical review (2)" tableColumnId="52"/>
      <queryTableField id="23" name="E. Patients on the CHD or Stroke/TIA or PAD register" tableColumnId="53"/>
      <queryTableField id="24" name="13 Secondary prevention statins prescribed or offered in last 12m" tableColumnId="54"/>
      <queryTableField id="25" name="F. Patients on anticoagulants or antiplatelets 6m" tableColumnId="55"/>
      <queryTableField id="26" name="Not on PPI 6m" tableColumnId="56"/>
      <queryTableField id="27" name="14 Not on PPI, reviewed" tableColumnId="57"/>
      <queryTableField id="28" name="SubLocality ID" tableColumnId="58"/>
      <queryTableField id="29" name="SubLocality" tableColumnId="59"/>
      <queryTableField id="30" name="Practice" tableColumnId="60"/>
    </queryTableFields>
  </queryTableRefresh>
</queryTable>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Practice" xr10:uid="{87EE481E-1985-4CC3-8961-46143D7DB830}" sourceName="Practice">
  <pivotTables>
    <pivotTable tabId="15" name="PivotTable10"/>
    <pivotTable tabId="15" name="PivotTable11"/>
    <pivotTable tabId="15" name="PivotTable7"/>
  </pivotTables>
  <data>
    <tabular pivotCacheId="1568821946">
      <items count="39">
        <i x="12" s="1"/>
        <i x="5"/>
        <i x="6"/>
        <i x="19"/>
        <i x="37"/>
        <i x="24"/>
        <i x="35"/>
        <i x="17"/>
        <i x="23"/>
        <i x="2"/>
        <i x="31"/>
        <i x="21"/>
        <i x="15"/>
        <i x="36"/>
        <i x="0"/>
        <i x="13"/>
        <i x="29"/>
        <i x="32"/>
        <i x="33"/>
        <i x="27"/>
        <i x="3"/>
        <i x="38"/>
        <i x="26"/>
        <i x="22"/>
        <i x="20"/>
        <i x="9"/>
        <i x="7"/>
        <i x="11"/>
        <i x="14"/>
        <i x="10"/>
        <i x="30"/>
        <i x="1"/>
        <i x="28"/>
        <i x="34"/>
        <i x="18"/>
        <i x="8"/>
        <i x="4"/>
        <i x="16"/>
        <i x="25"/>
      </items>
    </tabular>
  </data>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Practice1" xr10:uid="{8A08BC8A-9396-4E39-8C51-26DE0F1D881F}" sourceName="Practice">
  <pivotTables>
    <pivotTable tabId="17" name="PivotTable1"/>
    <pivotTable tabId="17" name="PivotTable2"/>
    <pivotTable tabId="17" name="PivotTable3"/>
  </pivotTables>
  <data>
    <tabular pivotCacheId="1568821946">
      <items count="39">
        <i x="12" s="1"/>
        <i x="5"/>
        <i x="6"/>
        <i x="19"/>
        <i x="37"/>
        <i x="24"/>
        <i x="35"/>
        <i x="17"/>
        <i x="23"/>
        <i x="2"/>
        <i x="31"/>
        <i x="21"/>
        <i x="15"/>
        <i x="36"/>
        <i x="0"/>
        <i x="13"/>
        <i x="29"/>
        <i x="32"/>
        <i x="33"/>
        <i x="27"/>
        <i x="3"/>
        <i x="38"/>
        <i x="26"/>
        <i x="22"/>
        <i x="20"/>
        <i x="9"/>
        <i x="7"/>
        <i x="11"/>
        <i x="14"/>
        <i x="10"/>
        <i x="30"/>
        <i x="1"/>
        <i x="28"/>
        <i x="34"/>
        <i x="18"/>
        <i x="8"/>
        <i x="4"/>
        <i x="16"/>
        <i x="25"/>
      </items>
    </tabular>
  </data>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Practice2" xr10:uid="{04330A9A-637E-45BD-B8D6-388833246D93}" sourceName="Practice">
  <pivotTables>
    <pivotTable tabId="22" name="PivotTable4"/>
    <pivotTable tabId="22" name="PivotTable5"/>
    <pivotTable tabId="22" name="PivotTable6"/>
  </pivotTables>
  <data>
    <tabular pivotCacheId="1568821946">
      <items count="39">
        <i x="12" s="1"/>
        <i x="5"/>
        <i x="6"/>
        <i x="19"/>
        <i x="37"/>
        <i x="24"/>
        <i x="35"/>
        <i x="17"/>
        <i x="23"/>
        <i x="2"/>
        <i x="31"/>
        <i x="21"/>
        <i x="15"/>
        <i x="36"/>
        <i x="0"/>
        <i x="13"/>
        <i x="29"/>
        <i x="32"/>
        <i x="33"/>
        <i x="27"/>
        <i x="3"/>
        <i x="38"/>
        <i x="26"/>
        <i x="22"/>
        <i x="20"/>
        <i x="9"/>
        <i x="7"/>
        <i x="11"/>
        <i x="14"/>
        <i x="10"/>
        <i x="30"/>
        <i x="1"/>
        <i x="28"/>
        <i x="34"/>
        <i x="18"/>
        <i x="8"/>
        <i x="4"/>
        <i x="16"/>
        <i x="25"/>
      </items>
    </tabular>
  </data>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Practice3" xr10:uid="{F14C1EDF-252F-4883-810A-564173489DC3}" sourceName="Practice">
  <pivotTables>
    <pivotTable tabId="23" name="PivotTable1"/>
    <pivotTable tabId="23" name="PivotTable2"/>
  </pivotTables>
  <data>
    <tabular pivotCacheId="1568821946">
      <items count="39">
        <i x="12" s="1"/>
        <i x="5"/>
        <i x="6"/>
        <i x="19"/>
        <i x="37"/>
        <i x="24"/>
        <i x="35"/>
        <i x="17"/>
        <i x="23"/>
        <i x="2"/>
        <i x="31"/>
        <i x="21"/>
        <i x="15"/>
        <i x="36"/>
        <i x="0"/>
        <i x="13"/>
        <i x="29"/>
        <i x="32"/>
        <i x="33"/>
        <i x="27"/>
        <i x="3"/>
        <i x="38"/>
        <i x="26"/>
        <i x="22"/>
        <i x="20"/>
        <i x="9"/>
        <i x="7"/>
        <i x="11"/>
        <i x="14"/>
        <i x="10"/>
        <i x="30"/>
        <i x="1"/>
        <i x="28"/>
        <i x="34"/>
        <i x="18"/>
        <i x="8"/>
        <i x="4"/>
        <i x="16"/>
        <i x="25"/>
      </items>
    </tabular>
  </data>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Practice4" xr10:uid="{E57FDF38-3142-4DE5-8FDC-3928A1E2F7AB}" sourceName="Practice">
  <pivotTables>
    <pivotTable tabId="24" name="PivotTable3"/>
  </pivotTables>
  <data>
    <tabular pivotCacheId="1568821946">
      <items count="39">
        <i x="12" s="1"/>
        <i x="5"/>
        <i x="6"/>
        <i x="19"/>
        <i x="37"/>
        <i x="24"/>
        <i x="35"/>
        <i x="17"/>
        <i x="23"/>
        <i x="2"/>
        <i x="31"/>
        <i x="21"/>
        <i x="15"/>
        <i x="36"/>
        <i x="0"/>
        <i x="13"/>
        <i x="29"/>
        <i x="32"/>
        <i x="33"/>
        <i x="27"/>
        <i x="3"/>
        <i x="38"/>
        <i x="26"/>
        <i x="22"/>
        <i x="20"/>
        <i x="9"/>
        <i x="7"/>
        <i x="11"/>
        <i x="14"/>
        <i x="10"/>
        <i x="30"/>
        <i x="1"/>
        <i x="28"/>
        <i x="34"/>
        <i x="18"/>
        <i x="8"/>
        <i x="4"/>
        <i x="16"/>
        <i x="25"/>
      </items>
    </tabular>
  </data>
</slicerCacheDefinition>
</file>

<file path=xl/slicerCaches/slicerCache6.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Practice5" xr10:uid="{042252DE-250B-4D5A-AF56-B47E231BA36B}" sourceName="Practice">
  <pivotTables>
    <pivotTable tabId="25" name="PivotTable4"/>
  </pivotTables>
  <data>
    <tabular pivotCacheId="1568821946">
      <items count="39">
        <i x="12" s="1"/>
        <i x="5"/>
        <i x="6"/>
        <i x="19"/>
        <i x="37"/>
        <i x="24"/>
        <i x="35"/>
        <i x="17"/>
        <i x="23"/>
        <i x="2"/>
        <i x="31"/>
        <i x="21"/>
        <i x="15"/>
        <i x="36"/>
        <i x="0"/>
        <i x="13"/>
        <i x="29"/>
        <i x="32"/>
        <i x="33"/>
        <i x="27"/>
        <i x="3"/>
        <i x="38"/>
        <i x="26"/>
        <i x="22"/>
        <i x="20"/>
        <i x="9"/>
        <i x="7"/>
        <i x="11"/>
        <i x="14"/>
        <i x="10"/>
        <i x="30"/>
        <i x="1"/>
        <i x="28"/>
        <i x="34"/>
        <i x="18"/>
        <i x="8"/>
        <i x="4"/>
        <i x="16"/>
        <i x="25"/>
      </items>
    </tabular>
  </data>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Practice" xr10:uid="{726C87C8-86ED-46AF-B355-CFEA9D568280}" cache="Slicer_Practice" caption="Practice" rowHeight="241300"/>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Practice 1" xr10:uid="{62F2FA2F-8EAC-41CC-AFF7-CBDD09A4A51A}" cache="Slicer_Practice1" caption="Practice" rowHeight="241300"/>
</slicers>
</file>

<file path=xl/slicers/slicer3.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Practice 2" xr10:uid="{8C5809C4-DEC0-4845-A423-6F7797CFBFEA}" cache="Slicer_Practice2" caption="Practice" rowHeight="241300"/>
</slicers>
</file>

<file path=xl/slicers/slicer4.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Practice 3" xr10:uid="{F21475A5-EB23-4FCA-A36F-CD8C6462AB81}" cache="Slicer_Practice3" caption="Practice" rowHeight="241300"/>
</slicers>
</file>

<file path=xl/slicers/slicer5.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Practice 4" xr10:uid="{65C0810D-4318-4B5C-A142-70DF14B8576E}" cache="Slicer_Practice4" caption="Practice" rowHeight="241300"/>
</slicers>
</file>

<file path=xl/slicers/slicer6.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Practice 5" xr10:uid="{735B6075-F14A-4B6D-AD9D-E0B1CC38F2EE}" cache="Slicer_Practice5" caption="Practice" rowHeight="241300"/>
</slicers>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0000000}" name="Table2" displayName="Table2" ref="A1:AD498" tableType="queryTable" totalsRowShown="0">
  <autoFilter ref="A1:AD498" xr:uid="{00000000-000C-0000-FFFF-FFFF00000000}"/>
  <tableColumns count="30">
    <tableColumn id="31" xr3:uid="{0CB58963-6FE3-4E85-88CD-9C04F59F4350}" uniqueName="31" name="ProjectID" queryTableFieldId="1"/>
    <tableColumn id="32" xr3:uid="{43E316EA-B2AB-4D2F-BD9D-B56CFB4326BC}" uniqueName="32" name="Rel_D" queryTableFieldId="2" dataDxfId="0"/>
    <tableColumn id="33" xr3:uid="{68F0C983-4C3B-48B6-B65E-6ACC52050D63}" uniqueName="33" name="Run_D" queryTableFieldId="3"/>
    <tableColumn id="34" xr3:uid="{8A1531B7-31D8-442A-A872-E84581F03E6B}" uniqueName="34" name="OrgID" queryTableFieldId="4"/>
    <tableColumn id="35" xr3:uid="{AA273176-E482-42B4-81E2-86EDEBEF0D90}" uniqueName="35" name="All currently registered regular patients aged 18+" queryTableFieldId="5"/>
    <tableColumn id="36" xr3:uid="{6CAE06E0-00D2-40AF-9C31-CA8FB7825878}" uniqueName="36" name="A. Patients on the diabetes register" queryTableFieldId="6"/>
    <tableColumn id="37" xr3:uid="{AE16437C-8DBA-4E43-9F31-B107513CA706}" uniqueName="37" name="Type 2 diabetics" queryTableFieldId="7"/>
    <tableColumn id="38" xr3:uid="{FE9F9BE9-6CF1-41E7-9E54-A37183EB5442}" uniqueName="38" name="1 Diabetes review recorded or proxy 12m" queryTableFieldId="8"/>
    <tableColumn id="39" xr3:uid="{636083B4-E785-4012-8452-8C7BE06C1838}" uniqueName="39" name="Eligible for triple target" queryTableFieldId="9"/>
    <tableColumn id="40" xr3:uid="{8E847170-5B25-4CB1-ACCE-85E7BEE1CF9F}" uniqueName="40" name="3 Triple target achieved" queryTableFieldId="10"/>
    <tableColumn id="41" xr3:uid="{69532DE3-F594-4F49-BD9A-6E39F8F903B8}" uniqueName="41" name="B. Patients on the COPD register" queryTableFieldId="11"/>
    <tableColumn id="42" xr3:uid="{AA21828E-B771-4249-91CA-417E942C01C5}" uniqueName="42" name="4 COPD review coded or proxy (MRC) 12m" queryTableFieldId="12"/>
    <tableColumn id="43" xr3:uid="{BCA103A4-01FE-407F-BB2D-F32094192A8C}" uniqueName="43" name="7 COPD action plan recorded 12m" queryTableFieldId="13"/>
    <tableColumn id="44" xr3:uid="{48150BE9-5EEF-40F0-8E91-552323F48F4D}" uniqueName="44" name="6 CAT Score &amp; MRC scale recorded" queryTableFieldId="14"/>
    <tableColumn id="45" xr3:uid="{368C385F-D4AF-4C2C-BEF3-58F85424A95A}" uniqueName="45" name="C. Patients on the asthma register" queryTableFieldId="15"/>
    <tableColumn id="46" xr3:uid="{E3BAFBA4-25A3-4BC2-AE6A-2A7B94CE4A49}" uniqueName="46" name="8 Asthma review coded or proxy (inhaler technique) 12m" queryTableFieldId="16"/>
    <tableColumn id="47" xr3:uid="{FC739911-316B-4CA5-B138-A9F8CC40CEC8}" uniqueName="47" name="10 Asthma Action Plan recorded 12m" queryTableFieldId="17"/>
    <tableColumn id="48" xr3:uid="{BFFFCE25-AA57-430C-A030-7E70CE872D57}" uniqueName="48" name="11 ACT recorded" queryTableFieldId="18"/>
    <tableColumn id="49" xr3:uid="{686FB442-BADE-4177-A41C-C2284B368AE4}" uniqueName="49" name="D. Patients on the hypertension register" queryTableFieldId="19"/>
    <tableColumn id="50" xr3:uid="{FC36105B-30B2-4E7D-B40B-AC90D7A34EDE}" uniqueName="50" name="15 On target" queryTableFieldId="20"/>
    <tableColumn id="51" xr3:uid="{5BD6C55F-EBF7-4507-9358-3895E5DD4EE0}" uniqueName="51" name="Off target" queryTableFieldId="21"/>
    <tableColumn id="52" xr3:uid="{F6D50F58-AC85-4ED8-92D9-106BCE56A298}" uniqueName="52" name="12 Off target, with clinical review (2)" queryTableFieldId="22"/>
    <tableColumn id="53" xr3:uid="{AA5824DE-562D-4ECA-9024-87030BFAA902}" uniqueName="53" name="E. Patients on the CHD or Stroke/TIA or PAD register" queryTableFieldId="23"/>
    <tableColumn id="54" xr3:uid="{4A59FB26-E32E-4D36-B5A9-919808D83364}" uniqueName="54" name="13 Secondary prevention statins prescribed or offered in last 12m" queryTableFieldId="24"/>
    <tableColumn id="55" xr3:uid="{571C66AF-2CD6-4434-BAC5-122BE0278846}" uniqueName="55" name="F. Patients on anticoagulants or antiplatelets 6m" queryTableFieldId="25"/>
    <tableColumn id="56" xr3:uid="{394B2393-A7FA-4FF0-A7AA-597E5BDD9A36}" uniqueName="56" name="Not on PPI 6m" queryTableFieldId="26"/>
    <tableColumn id="57" xr3:uid="{68E7750B-753F-46A2-B5F6-D35B37869A5E}" uniqueName="57" name="14 Not on PPI, reviewed" queryTableFieldId="27"/>
    <tableColumn id="58" xr3:uid="{1AFA7762-6E1C-498F-9789-734976F2AEC0}" uniqueName="58" name="SubLocality ID" queryTableFieldId="28"/>
    <tableColumn id="59" xr3:uid="{E295E2C4-11D8-40A4-A605-57B86577B35C}" uniqueName="59" name="SubLocality" queryTableFieldId="29"/>
    <tableColumn id="60" xr3:uid="{34C03DAD-0392-4A97-B153-4022EEB28C93}" uniqueName="60" name="Practice" queryTableFieldId="30"/>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5.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6.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7.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8.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9.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0.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1.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2.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3.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4.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5.xml"/><Relationship Id="rId1" Type="http://schemas.openxmlformats.org/officeDocument/2006/relationships/printerSettings" Target="../printerSettings/printerSettings2.bin"/><Relationship Id="rId5" Type="http://schemas.openxmlformats.org/officeDocument/2006/relationships/image" Target="../media/image1.emf"/><Relationship Id="rId4" Type="http://schemas.openxmlformats.org/officeDocument/2006/relationships/control" Target="../activeX/activeX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8.xml"/><Relationship Id="rId1" Type="http://schemas.openxmlformats.org/officeDocument/2006/relationships/printerSettings" Target="../printerSettings/printerSettings4.bin"/><Relationship Id="rId5" Type="http://schemas.openxmlformats.org/officeDocument/2006/relationships/image" Target="../media/image4.emf"/><Relationship Id="rId4" Type="http://schemas.openxmlformats.org/officeDocument/2006/relationships/control" Target="../activeX/activeX2.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8.xml.rels><?xml version="1.0" encoding="UTF-8" standalone="yes"?>
<Relationships xmlns="http://schemas.openxmlformats.org/package/2006/relationships"><Relationship Id="rId1" Type="http://schemas.openxmlformats.org/officeDocument/2006/relationships/table" Target="../tables/table1.xml"/></Relationships>
</file>

<file path=xl/worksheets/_rels/sheet9.xml.rels><?xml version="1.0" encoding="UTF-8" standalone="yes"?>
<Relationships xmlns="http://schemas.openxmlformats.org/package/2006/relationships"><Relationship Id="rId3" Type="http://schemas.openxmlformats.org/officeDocument/2006/relationships/control" Target="../activeX/activeX3.xml"/><Relationship Id="rId2" Type="http://schemas.openxmlformats.org/officeDocument/2006/relationships/vmlDrawing" Target="../drawings/vmlDrawing3.vml"/><Relationship Id="rId1" Type="http://schemas.openxmlformats.org/officeDocument/2006/relationships/drawing" Target="../drawings/drawing10.xml"/><Relationship Id="rId5" Type="http://schemas.microsoft.com/office/2007/relationships/slicer" Target="../slicers/slicer1.xml"/><Relationship Id="rId4" Type="http://schemas.openxmlformats.org/officeDocument/2006/relationships/image" Target="../media/image5.emf"/></Relationships>
</file>

<file path=xl/worksheets/_rels/sheet10.xml.rels><?xml version="1.0" encoding="UTF-8" standalone="yes"?>
<Relationships xmlns="http://schemas.openxmlformats.org/package/2006/relationships"><Relationship Id="rId3" Type="http://schemas.openxmlformats.org/officeDocument/2006/relationships/control" Target="../activeX/activeX4.xml"/><Relationship Id="rId2" Type="http://schemas.openxmlformats.org/officeDocument/2006/relationships/vmlDrawing" Target="../drawings/vmlDrawing4.vml"/><Relationship Id="rId1" Type="http://schemas.openxmlformats.org/officeDocument/2006/relationships/drawing" Target="../drawings/drawing11.xml"/><Relationship Id="rId5" Type="http://schemas.microsoft.com/office/2007/relationships/slicer" Target="../slicers/slicer2.xml"/><Relationship Id="rId4" Type="http://schemas.openxmlformats.org/officeDocument/2006/relationships/image" Target="../media/image6.emf"/></Relationships>
</file>

<file path=xl/worksheets/_rels/sheet11.xml.rels><?xml version="1.0" encoding="UTF-8" standalone="yes"?>
<Relationships xmlns="http://schemas.openxmlformats.org/package/2006/relationships"><Relationship Id="rId3" Type="http://schemas.openxmlformats.org/officeDocument/2006/relationships/control" Target="../activeX/activeX5.xml"/><Relationship Id="rId2" Type="http://schemas.openxmlformats.org/officeDocument/2006/relationships/vmlDrawing" Target="../drawings/vmlDrawing5.vml"/><Relationship Id="rId1" Type="http://schemas.openxmlformats.org/officeDocument/2006/relationships/drawing" Target="../drawings/drawing12.xml"/><Relationship Id="rId5" Type="http://schemas.microsoft.com/office/2007/relationships/slicer" Target="../slicers/slicer3.xml"/><Relationship Id="rId4" Type="http://schemas.openxmlformats.org/officeDocument/2006/relationships/image" Target="../media/image7.emf"/></Relationships>
</file>

<file path=xl/worksheets/_rels/sheet12.xml.rels><?xml version="1.0" encoding="UTF-8" standalone="yes"?>
<Relationships xmlns="http://schemas.openxmlformats.org/package/2006/relationships"><Relationship Id="rId3" Type="http://schemas.openxmlformats.org/officeDocument/2006/relationships/control" Target="../activeX/activeX6.xml"/><Relationship Id="rId2" Type="http://schemas.openxmlformats.org/officeDocument/2006/relationships/vmlDrawing" Target="../drawings/vmlDrawing6.vml"/><Relationship Id="rId1" Type="http://schemas.openxmlformats.org/officeDocument/2006/relationships/drawing" Target="../drawings/drawing13.xml"/><Relationship Id="rId5" Type="http://schemas.microsoft.com/office/2007/relationships/slicer" Target="../slicers/slicer4.xml"/><Relationship Id="rId4" Type="http://schemas.openxmlformats.org/officeDocument/2006/relationships/image" Target="../media/image8.emf"/></Relationships>
</file>

<file path=xl/worksheets/_rels/sheet13.xml.rels><?xml version="1.0" encoding="UTF-8" standalone="yes"?>
<Relationships xmlns="http://schemas.openxmlformats.org/package/2006/relationships"><Relationship Id="rId3" Type="http://schemas.openxmlformats.org/officeDocument/2006/relationships/control" Target="../activeX/activeX7.xml"/><Relationship Id="rId2" Type="http://schemas.openxmlformats.org/officeDocument/2006/relationships/vmlDrawing" Target="../drawings/vmlDrawing7.vml"/><Relationship Id="rId1" Type="http://schemas.openxmlformats.org/officeDocument/2006/relationships/drawing" Target="../drawings/drawing14.xml"/><Relationship Id="rId5" Type="http://schemas.microsoft.com/office/2007/relationships/slicer" Target="../slicers/slicer5.xml"/><Relationship Id="rId4" Type="http://schemas.openxmlformats.org/officeDocument/2006/relationships/image" Target="../media/image9.emf"/></Relationships>
</file>

<file path=xl/worksheets/_rels/sheet14.xml.rels><?xml version="1.0" encoding="UTF-8" standalone="yes"?>
<Relationships xmlns="http://schemas.openxmlformats.org/package/2006/relationships"><Relationship Id="rId3" Type="http://schemas.openxmlformats.org/officeDocument/2006/relationships/control" Target="../activeX/activeX8.xml"/><Relationship Id="rId2" Type="http://schemas.openxmlformats.org/officeDocument/2006/relationships/vmlDrawing" Target="../drawings/vmlDrawing8.vml"/><Relationship Id="rId1" Type="http://schemas.openxmlformats.org/officeDocument/2006/relationships/drawing" Target="../drawings/drawing15.xml"/><Relationship Id="rId5" Type="http://schemas.microsoft.com/office/2007/relationships/slicer" Target="../slicers/slicer6.xml"/><Relationship Id="rId4" Type="http://schemas.openxmlformats.org/officeDocument/2006/relationships/image" Target="../media/image10.emf"/></Relationships>
</file>

<file path=xl/worksheets/_rels/sheet15.xml.rels><?xml version="1.0" encoding="UTF-8" standalone="yes"?>
<Relationships xmlns="http://schemas.openxmlformats.org/package/2006/relationships"><Relationship Id="rId3" Type="http://schemas.openxmlformats.org/officeDocument/2006/relationships/pivotTable" Target="../pivotTables/pivotTable3.xml"/><Relationship Id="rId2" Type="http://schemas.openxmlformats.org/officeDocument/2006/relationships/pivotTable" Target="../pivotTables/pivotTable2.xml"/><Relationship Id="rId1" Type="http://schemas.openxmlformats.org/officeDocument/2006/relationships/pivotTable" Target="../pivotTables/pivotTable1.xml"/><Relationship Id="rId4" Type="http://schemas.openxmlformats.org/officeDocument/2006/relationships/drawing" Target="../drawings/drawing16.xml"/></Relationships>
</file>

<file path=xl/worksheets/_rels/sheet16.xml.rels><?xml version="1.0" encoding="UTF-8" standalone="yes"?>
<Relationships xmlns="http://schemas.openxmlformats.org/package/2006/relationships"><Relationship Id="rId3" Type="http://schemas.openxmlformats.org/officeDocument/2006/relationships/pivotTable" Target="../pivotTables/pivotTable6.xml"/><Relationship Id="rId2" Type="http://schemas.openxmlformats.org/officeDocument/2006/relationships/pivotTable" Target="../pivotTables/pivotTable5.xml"/><Relationship Id="rId1" Type="http://schemas.openxmlformats.org/officeDocument/2006/relationships/pivotTable" Target="../pivotTables/pivotTable4.xml"/></Relationships>
</file>

<file path=xl/worksheets/_rels/sheet17.xml.rels><?xml version="1.0" encoding="UTF-8" standalone="yes"?>
<Relationships xmlns="http://schemas.openxmlformats.org/package/2006/relationships"><Relationship Id="rId3" Type="http://schemas.openxmlformats.org/officeDocument/2006/relationships/pivotTable" Target="../pivotTables/pivotTable9.xml"/><Relationship Id="rId2" Type="http://schemas.openxmlformats.org/officeDocument/2006/relationships/pivotTable" Target="../pivotTables/pivotTable8.xml"/><Relationship Id="rId1" Type="http://schemas.openxmlformats.org/officeDocument/2006/relationships/pivotTable" Target="../pivotTables/pivotTable7.xml"/></Relationships>
</file>

<file path=xl/worksheets/_rels/sheet18.xml.rels><?xml version="1.0" encoding="UTF-8" standalone="yes"?>
<Relationships xmlns="http://schemas.openxmlformats.org/package/2006/relationships"><Relationship Id="rId2" Type="http://schemas.openxmlformats.org/officeDocument/2006/relationships/pivotTable" Target="../pivotTables/pivotTable11.xml"/><Relationship Id="rId1" Type="http://schemas.openxmlformats.org/officeDocument/2006/relationships/pivotTable" Target="../pivotTables/pivotTable10.xml"/></Relationships>
</file>

<file path=xl/worksheets/_rels/sheet19.xml.rels><?xml version="1.0" encoding="UTF-8" standalone="yes"?>
<Relationships xmlns="http://schemas.openxmlformats.org/package/2006/relationships"><Relationship Id="rId1" Type="http://schemas.openxmlformats.org/officeDocument/2006/relationships/pivotTable" Target="../pivotTables/pivotTable12.xml"/></Relationships>
</file>

<file path=xl/worksheets/_rels/sheet20.xml.rels><?xml version="1.0" encoding="UTF-8" standalone="yes"?>
<Relationships xmlns="http://schemas.openxmlformats.org/package/2006/relationships"><Relationship Id="rId1" Type="http://schemas.openxmlformats.org/officeDocument/2006/relationships/pivotTable" Target="../pivotTables/pivotTable1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dimension ref="B3:E23"/>
  <sheetViews>
    <sheetView showGridLines="0" topLeftCell="A9" workbookViewId="0">
      <selection activeCell="L17" sqref="L17"/>
    </sheetView>
  </sheetViews>
  <sheetFormatPr defaultRowHeight="15"/>
  <sheetData>
    <row r="3" spans="2:5">
      <c r="C3">
        <v>2014</v>
      </c>
      <c r="D3">
        <v>196</v>
      </c>
      <c r="E3">
        <f>$D$5-D3</f>
        <v>314</v>
      </c>
    </row>
    <row r="4" spans="2:5">
      <c r="C4">
        <v>2015</v>
      </c>
      <c r="D4">
        <v>297</v>
      </c>
      <c r="E4">
        <f t="shared" ref="E4:E8" si="0">$D$5-D4</f>
        <v>213</v>
      </c>
    </row>
    <row r="5" spans="2:5">
      <c r="C5">
        <v>2016</v>
      </c>
      <c r="D5">
        <v>510</v>
      </c>
      <c r="E5">
        <f t="shared" si="0"/>
        <v>0</v>
      </c>
    </row>
    <row r="6" spans="2:5">
      <c r="C6">
        <v>2017</v>
      </c>
      <c r="D6">
        <v>165</v>
      </c>
      <c r="E6">
        <f t="shared" si="0"/>
        <v>345</v>
      </c>
    </row>
    <row r="7" spans="2:5">
      <c r="C7">
        <v>2018</v>
      </c>
      <c r="D7">
        <v>129</v>
      </c>
      <c r="E7">
        <f t="shared" si="0"/>
        <v>381</v>
      </c>
    </row>
    <row r="8" spans="2:5">
      <c r="C8">
        <v>2019</v>
      </c>
      <c r="D8">
        <v>103</v>
      </c>
      <c r="E8">
        <f t="shared" si="0"/>
        <v>407</v>
      </c>
    </row>
    <row r="10" spans="2:5">
      <c r="B10" t="s">
        <v>0</v>
      </c>
      <c r="C10">
        <v>196</v>
      </c>
      <c r="D10">
        <v>-314</v>
      </c>
    </row>
    <row r="11" spans="2:5">
      <c r="B11" t="s">
        <v>1</v>
      </c>
      <c r="C11">
        <v>297</v>
      </c>
      <c r="D11">
        <v>-213</v>
      </c>
    </row>
    <row r="12" spans="2:5">
      <c r="B12" t="s">
        <v>2</v>
      </c>
      <c r="C12">
        <v>510</v>
      </c>
      <c r="D12">
        <v>-34</v>
      </c>
    </row>
    <row r="13" spans="2:5">
      <c r="B13" t="s">
        <v>3</v>
      </c>
      <c r="C13">
        <v>165</v>
      </c>
      <c r="D13">
        <v>-250</v>
      </c>
    </row>
    <row r="14" spans="2:5">
      <c r="B14">
        <v>2018</v>
      </c>
      <c r="C14">
        <v>129</v>
      </c>
      <c r="D14">
        <v>-357</v>
      </c>
    </row>
    <row r="15" spans="2:5">
      <c r="B15">
        <v>2019</v>
      </c>
      <c r="C15">
        <v>103</v>
      </c>
      <c r="D15">
        <v>-400</v>
      </c>
    </row>
    <row r="18" spans="2:3">
      <c r="B18">
        <v>2014</v>
      </c>
      <c r="C18" s="1">
        <v>0.6</v>
      </c>
    </row>
    <row r="19" spans="2:3">
      <c r="B19">
        <v>2015</v>
      </c>
      <c r="C19" s="1">
        <v>0.7</v>
      </c>
    </row>
    <row r="20" spans="2:3">
      <c r="B20">
        <v>2016</v>
      </c>
      <c r="C20" s="1">
        <v>0.8</v>
      </c>
    </row>
    <row r="21" spans="2:3">
      <c r="B21">
        <v>2017</v>
      </c>
      <c r="C21" s="1">
        <v>0.45</v>
      </c>
    </row>
    <row r="22" spans="2:3">
      <c r="B22">
        <v>2018</v>
      </c>
      <c r="C22" s="1">
        <v>0.67</v>
      </c>
    </row>
    <row r="23" spans="2:3">
      <c r="B23">
        <v>2019</v>
      </c>
      <c r="C23" s="1">
        <v>0.56000000000000005</v>
      </c>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dimension ref="B4:P37"/>
  <sheetViews>
    <sheetView zoomScale="90" zoomScaleNormal="87" workbookViewId="0">
      <selection activeCell="R37" sqref="R37"/>
    </sheetView>
  </sheetViews>
  <sheetFormatPr defaultRowHeight="15"/>
  <cols>
    <col min="3" max="3" width="60.85546875" bestFit="1" customWidth="1"/>
    <col min="4" max="4" width="14.42578125" customWidth="1"/>
    <col min="5" max="5" width="11.85546875" bestFit="1" customWidth="1"/>
    <col min="6" max="6" width="44.42578125" bestFit="1" customWidth="1"/>
    <col min="7" max="10" width="10.42578125" bestFit="1" customWidth="1"/>
    <col min="11" max="16" width="10.5703125" bestFit="1" customWidth="1"/>
  </cols>
  <sheetData>
    <row r="4" spans="2:8">
      <c r="C4" t="s">
        <v>4</v>
      </c>
      <c r="D4" t="str">
        <f>Summary!F10</f>
        <v>Chingford/ Walthamstow</v>
      </c>
      <c r="E4" t="str">
        <f>Summary!F9</f>
        <v>The Microfaculty **</v>
      </c>
      <c r="G4" t="s">
        <v>5</v>
      </c>
    </row>
    <row r="5" spans="2:8" ht="15" customHeight="1" thickBot="1">
      <c r="C5" s="61" t="s">
        <v>6</v>
      </c>
      <c r="D5" s="63">
        <f>IF(Summary!J10="-",NA(),Summary!J10)</f>
        <v>0.59175424413904609</v>
      </c>
      <c r="E5" s="63">
        <f>IFERROR(-Summary!J9, NA())</f>
        <v>-0.65934065934065933</v>
      </c>
      <c r="G5" s="63">
        <f>IF(Summary!J11="-",NA(), Summary!J11)</f>
        <v>0.69559373539036928</v>
      </c>
      <c r="H5" s="64">
        <f>IFERROR(1-G5, NA())</f>
        <v>0.30440626460963072</v>
      </c>
    </row>
    <row r="6" spans="2:8" ht="15.75" thickBot="1">
      <c r="B6" s="60"/>
      <c r="C6" s="62" t="s">
        <v>7</v>
      </c>
      <c r="D6" s="63">
        <f>IF(Summary!N10="-", NA(),Summary!N10)</f>
        <v>0.13365442504515351</v>
      </c>
      <c r="E6" s="63">
        <f>IFERROR(-Summary!N9,NA())</f>
        <v>-0.15129151291512916</v>
      </c>
      <c r="G6" s="63">
        <f>IF(Summary!N11= "-", NA(),Summary!N11)</f>
        <v>0.14355161567057478</v>
      </c>
      <c r="H6" s="64">
        <f>IFERROR(1-G6, NA())</f>
        <v>0.85644838432942527</v>
      </c>
    </row>
    <row r="7" spans="2:8" ht="15.75" thickBot="1">
      <c r="B7" s="60"/>
      <c r="C7" s="62" t="s">
        <v>8</v>
      </c>
      <c r="D7" s="63">
        <f>IF(Summary!R10 = "-", NA(),Summary!R10)</f>
        <v>0.67511312217194575</v>
      </c>
      <c r="E7" s="63">
        <f>IFERROR(-Summary!R9,NA())</f>
        <v>-0.64319248826291076</v>
      </c>
      <c r="G7" s="63">
        <f>IF(Summary!R11="-",NA(),Summary!R11)</f>
        <v>0.69250470809792841</v>
      </c>
      <c r="H7" s="64">
        <f>IFERROR(1-G7, NA())</f>
        <v>0.30749529190207159</v>
      </c>
    </row>
    <row r="8" spans="2:8" ht="15" customHeight="1">
      <c r="B8" s="60"/>
      <c r="C8" s="61" t="s">
        <v>9</v>
      </c>
      <c r="D8" s="63">
        <f>IF(Summary!U10="-",NA(),Summary!U10)</f>
        <v>0.89142091152815017</v>
      </c>
      <c r="E8" s="63">
        <f>IFERROR(-Summary!U9, NA())</f>
        <v>-0.99270072992700731</v>
      </c>
      <c r="G8" s="63">
        <f>IF(Summary!U11="-",NA(),Summary!U11)</f>
        <v>0.95996954204285867</v>
      </c>
      <c r="H8" s="64">
        <f>IFERROR(1-G8, NA())</f>
        <v>4.003045795714133E-2</v>
      </c>
    </row>
    <row r="9" spans="2:8">
      <c r="C9" s="61" t="s">
        <v>10</v>
      </c>
      <c r="D9" s="63">
        <f>(IF(Summary!Y10="-",NA(),Summary!Y10))</f>
        <v>0.31586826347305391</v>
      </c>
      <c r="E9" s="63">
        <f>IFERROR(-Summary!Y9, NA())</f>
        <v>-0.69529652351738236</v>
      </c>
      <c r="G9" s="63">
        <f>IF(Summary!Y11="-",NA(),Summary!Y11)</f>
        <v>0.3800873362445415</v>
      </c>
      <c r="H9" s="64">
        <f>IFERROR(1-G9, NA())</f>
        <v>0.6199126637554585</v>
      </c>
    </row>
    <row r="10" spans="2:8" ht="15" customHeight="1"/>
    <row r="11" spans="2:8">
      <c r="C11" s="61"/>
      <c r="D11" s="63"/>
    </row>
    <row r="12" spans="2:8" ht="15" customHeight="1">
      <c r="C12" s="62"/>
      <c r="D12" s="63"/>
    </row>
    <row r="13" spans="2:8">
      <c r="C13" s="62"/>
      <c r="D13" s="63"/>
    </row>
    <row r="14" spans="2:8" ht="15" customHeight="1">
      <c r="C14" s="61"/>
      <c r="D14" s="63"/>
    </row>
    <row r="15" spans="2:8">
      <c r="D15" s="16"/>
    </row>
    <row r="16" spans="2:8">
      <c r="D16" s="63"/>
    </row>
    <row r="17" spans="3:16">
      <c r="D17" s="63"/>
    </row>
    <row r="18" spans="3:16">
      <c r="D18" s="63"/>
    </row>
    <row r="19" spans="3:16">
      <c r="D19" s="63"/>
    </row>
    <row r="20" spans="3:16">
      <c r="C20" t="s">
        <v>11</v>
      </c>
    </row>
    <row r="21" spans="3:16">
      <c r="D21" s="16">
        <v>44287</v>
      </c>
      <c r="E21" s="16">
        <v>44317</v>
      </c>
      <c r="F21" s="16">
        <v>44348</v>
      </c>
      <c r="G21" s="16">
        <v>44378</v>
      </c>
      <c r="H21" s="16">
        <v>44409</v>
      </c>
      <c r="I21" s="16">
        <v>44440</v>
      </c>
      <c r="J21" s="16">
        <v>44470</v>
      </c>
      <c r="K21" s="16">
        <v>44501</v>
      </c>
      <c r="L21" s="16">
        <v>44531</v>
      </c>
      <c r="M21" s="16">
        <v>44562</v>
      </c>
      <c r="N21" s="16">
        <v>44593</v>
      </c>
      <c r="O21" s="16">
        <v>44621</v>
      </c>
      <c r="P21" s="16">
        <v>44652</v>
      </c>
    </row>
    <row r="22" spans="3:16">
      <c r="C22" s="61" t="s">
        <v>6</v>
      </c>
      <c r="D22" s="63">
        <f>IFERROR(SUMIFS(Table2[1 Diabetes review recorded or proxy 12m],Table2[OrgID],Practice!$I$2,Table2[Rel_D],D21)/SUMIFS(Table2[Type 2 diabetics],Table2[OrgID],Practice!$I$2,Table2[Rel_D],D21),NA())</f>
        <v>0.59944751381215466</v>
      </c>
      <c r="E22" s="63" t="e">
        <f>IFERROR(SUMIFS(Table2[1 Diabetes review recorded or proxy 12m],Table2[OrgID],Practice!$I$2,Table2[Rel_D],E21)/SUMIFS(Table2[Type 2 diabetics],Table2[OrgID],Practice!$I$2,Table2[Rel_D],E21),NA())</f>
        <v>#N/A</v>
      </c>
      <c r="F22" s="63" t="e">
        <f>IFERROR(SUMIFS(Table2[1 Diabetes review recorded or proxy 12m],Table2[OrgID],Practice!$I$2,Table2[Rel_D],F21)/SUMIFS(Table2[Type 2 diabetics],Table2[OrgID],Practice!$I$2,Table2[Rel_D],F21),NA())</f>
        <v>#N/A</v>
      </c>
      <c r="G22" s="63">
        <f>IFERROR(SUMIFS(Table2[1 Diabetes review recorded or proxy 12m],Table2[OrgID],Practice!$I$2,Table2[Rel_D],G21)/SUMIFS(Table2[Type 2 diabetics],Table2[OrgID],Practice!$I$2,Table2[Rel_D],G21),NA())</f>
        <v>0.7325905292479109</v>
      </c>
      <c r="H22" s="63">
        <f>IFERROR(SUMIFS(Table2[1 Diabetes review recorded or proxy 12m],Table2[OrgID],Practice!$I$2,Table2[Rel_D],H21)/SUMIFS(Table2[Type 2 diabetics],Table2[OrgID],Practice!$I$2,Table2[Rel_D],H21),NA())</f>
        <v>0.78116343490304707</v>
      </c>
      <c r="I22" s="63">
        <f>IFERROR(SUMIFS(Table2[1 Diabetes review recorded or proxy 12m],Table2[OrgID],Practice!$I$2,Table2[Rel_D],I21)/SUMIFS(Table2[Type 2 diabetics],Table2[OrgID],Practice!$I$2,Table2[Rel_D],I21),NA())</f>
        <v>0.74861878453038677</v>
      </c>
      <c r="J22" s="63">
        <f>IFERROR(SUMIFS(Table2[1 Diabetes review recorded or proxy 12m],Table2[OrgID],Practice!$I$2,Table2[Rel_D],J21)/SUMIFS(Table2[Type 2 diabetics],Table2[OrgID],Practice!$I$2,Table2[Rel_D],J21),NA())</f>
        <v>0.72876712328767124</v>
      </c>
      <c r="K22" s="63">
        <f>IFERROR(SUMIFS(Table2[1 Diabetes review recorded or proxy 12m],Table2[OrgID],Practice!$I$2,Table2[Rel_D],K21)/SUMIFS(Table2[Type 2 diabetics],Table2[OrgID],Practice!$I$2,Table2[Rel_D],K21),NA())</f>
        <v>0.72876712328767124</v>
      </c>
      <c r="L22" s="63">
        <f>IFERROR(SUMIFS(Table2[1 Diabetes review recorded or proxy 12m],Table2[OrgID],Practice!$I$2,Table2[Rel_D],L21)/SUMIFS(Table2[Type 2 diabetics],Table2[OrgID],Practice!$I$2,Table2[Rel_D],L21),NA())</f>
        <v>0.5805555555555556</v>
      </c>
      <c r="M22" s="63">
        <f>IFERROR(SUMIFS(Table2[1 Diabetes review recorded or proxy 12m],Table2[OrgID],Practice!$I$2,Table2[Rel_D],M21)/SUMIFS(Table2[Type 2 diabetics],Table2[OrgID],Practice!$I$2,Table2[Rel_D],M21),NA())</f>
        <v>0.5730337078651685</v>
      </c>
      <c r="N22" s="388">
        <f>IFERROR(SUMIFS(Table2[1 Diabetes review recorded or proxy 12m],Table2[OrgID],Practice!$I$2,Table2[Rel_D],N21)/SUMIFS(Table2[Type 2 diabetics],Table2[OrgID],Practice!$I$2,Table2[Rel_D],N21),NA())</f>
        <v>0.6</v>
      </c>
      <c r="O22" s="388">
        <f>IFERROR(SUMIFS(Table2[1 Diabetes review recorded or proxy 12m],Table2[OrgID],Practice!$I$2,Table2[Rel_D],O21)/SUMIFS(Table2[Type 2 diabetics],Table2[OrgID],Practice!$I$2,Table2[Rel_D],O21),NA())</f>
        <v>0.59279778393351801</v>
      </c>
      <c r="P22" s="388">
        <f>IFERROR(SUMIFS(Table2[1 Diabetes review recorded or proxy 12m],Table2[OrgID],Practice!$I$2,Table2[Rel_D],P21)/SUMIFS(Table2[Type 2 diabetics],Table2[OrgID],Practice!$I$2,Table2[Rel_D],P21),NA())</f>
        <v>0.65934065934065933</v>
      </c>
    </row>
    <row r="23" spans="3:16">
      <c r="C23" s="62" t="s">
        <v>7</v>
      </c>
      <c r="D23" s="63">
        <f>IFERROR(SUMIFS(Table2[3 Triple target achieved],Table2[OrgID],Practice!$I$2,Table2[Rel_D],D21)/SUMIFS(Table2[Eligible for triple target],Table2[OrgID],Practice!$I$2,Table2[Rel_D],D21),NA())</f>
        <v>0</v>
      </c>
      <c r="E23" s="63" t="e">
        <f>IFERROR(SUMIFS(Table2[3 Triple target achieved],Table2[OrgID],Practice!$I$2,Table2[Rel_D],E21)/SUMIFS(Table2[Eligible for triple target],Table2[OrgID],Practice!$I$2,Table2[Rel_D],E21),NA())</f>
        <v>#N/A</v>
      </c>
      <c r="F23" s="63" t="e">
        <f>IFERROR(SUMIFS(Table2[3 Triple target achieved],Table2[OrgID],Practice!$I$2,Table2[Rel_D],F21)/SUMIFS(Table2[Eligible for triple target],Table2[OrgID],Practice!$I$2,Table2[Rel_D],F21),NA())</f>
        <v>#N/A</v>
      </c>
      <c r="G23" s="63">
        <f>IFERROR(SUMIFS(Table2[3 Triple target achieved],Table2[OrgID],Practice!$I$2,Table2[Rel_D],G21)/SUMIFS(Table2[Eligible for triple target],Table2[OrgID],Practice!$I$2,Table2[Rel_D],G21),NA())</f>
        <v>0.14828897338403041</v>
      </c>
      <c r="H23" s="63">
        <f>IFERROR(SUMIFS(Table2[3 Triple target achieved],Table2[OrgID],Practice!$I$2,Table2[Rel_D],H21)/SUMIFS(Table2[Eligible for triple target],Table2[OrgID],Practice!$I$2,Table2[Rel_D],H21),NA())</f>
        <v>0.16603773584905659</v>
      </c>
      <c r="I23" s="63">
        <f>IFERROR(SUMIFS(Table2[3 Triple target achieved],Table2[OrgID],Practice!$I$2,Table2[Rel_D],I21)/SUMIFS(Table2[Eligible for triple target],Table2[OrgID],Practice!$I$2,Table2[Rel_D],I21),NA())</f>
        <v>0.17735849056603772</v>
      </c>
      <c r="J23" s="63">
        <f>IFERROR(SUMIFS(Table2[3 Triple target achieved],Table2[OrgID],Practice!$I$2,Table2[Rel_D],J21)/SUMIFS(Table2[Eligible for triple target],Table2[OrgID],Practice!$I$2,Table2[Rel_D],J21),NA())</f>
        <v>0.15209125475285171</v>
      </c>
      <c r="K23" s="63">
        <f>IFERROR(SUMIFS(Table2[3 Triple target achieved],Table2[OrgID],Practice!$I$2,Table2[Rel_D],K21)/SUMIFS(Table2[Eligible for triple target],Table2[OrgID],Practice!$I$2,Table2[Rel_D],K21),NA())</f>
        <v>0.15209125475285171</v>
      </c>
      <c r="L23" s="63">
        <f>IFERROR(SUMIFS(Table2[3 Triple target achieved],Table2[OrgID],Practice!$I$2,Table2[Rel_D],L21)/SUMIFS(Table2[Eligible for triple target],Table2[OrgID],Practice!$I$2,Table2[Rel_D],L21),NA())</f>
        <v>0.12406015037593984</v>
      </c>
      <c r="M23" s="63">
        <f>IFERROR(SUMIFS(Table2[3 Triple target achieved],Table2[OrgID],Practice!$I$2,Table2[Rel_D],M21)/SUMIFS(Table2[Eligible for triple target],Table2[OrgID],Practice!$I$2,Table2[Rel_D],M21),NA())</f>
        <v>0.12643678160919541</v>
      </c>
      <c r="N23" s="388">
        <f>IFERROR(SUMIFS(Table2[3 Triple target achieved],Table2[OrgID],Practice!$I$2,Table2[Rel_D],N21)/SUMIFS(Table2[Eligible for triple target],Table2[OrgID],Practice!$I$2,Table2[Rel_D],N21),NA())</f>
        <v>0.13257575757575757</v>
      </c>
      <c r="O23" s="388">
        <f>IFERROR(SUMIFS(Table2[3 Triple target achieved],Table2[OrgID],Practice!$I$2,Table2[Rel_D],O21)/SUMIFS(Table2[Eligible for triple target],Table2[OrgID],Practice!$I$2,Table2[Rel_D],O21),NA())</f>
        <v>0.1348314606741573</v>
      </c>
      <c r="P23" s="388">
        <f>IFERROR(SUMIFS(Table2[3 Triple target achieved],Table2[OrgID],Practice!$I$2,Table2[Rel_D],P21)/SUMIFS(Table2[Eligible for triple target],Table2[OrgID],Practice!$I$2,Table2[Rel_D],P21),NA())</f>
        <v>0.15129151291512916</v>
      </c>
    </row>
    <row r="24" spans="3:16">
      <c r="C24" s="62" t="s">
        <v>12</v>
      </c>
      <c r="D24" s="63">
        <f>IFERROR(SUMIFS(Table2[8 Asthma review coded or proxy (inhaler technique) 12m],Table2[OrgID],Practice!$I$2,Table2[Rel_D],D21)/SUMIFS(Table2[C. Patients on the asthma register],Table2[OrgID],Practice!$I$2,Table2[Rel_D],D21),NA())</f>
        <v>0.70892018779342725</v>
      </c>
      <c r="E24" s="63" t="e">
        <f>IFERROR(SUMIFS(Table2[8 Asthma review coded or proxy (inhaler technique) 12m],Table2[OrgID],Practice!$I$2,Table2[Rel_D],E21)/SUMIFS(Table2[C. Patients on the asthma register],Table2[OrgID],Practice!$I$2,Table2[Rel_D],E21),NA())</f>
        <v>#N/A</v>
      </c>
      <c r="F24" s="63" t="e">
        <f>IFERROR(SUMIFS(Table2[8 Asthma review coded or proxy (inhaler technique) 12m],Table2[OrgID],Practice!$I$2,Table2[Rel_D],F21)/SUMIFS(Table2[C. Patients on the asthma register],Table2[OrgID],Practice!$I$2,Table2[Rel_D],F21),NA())</f>
        <v>#N/A</v>
      </c>
      <c r="G24" s="63">
        <f>IFERROR(SUMIFS(Table2[8 Asthma review coded or proxy (inhaler technique) 12m],Table2[OrgID],Practice!$I$2,Table2[Rel_D],G21)/SUMIFS(Table2[C. Patients on the asthma register],Table2[OrgID],Practice!$I$2,Table2[Rel_D],G21),NA())</f>
        <v>0.74384236453201968</v>
      </c>
      <c r="H24" s="63">
        <f>IFERROR(SUMIFS(Table2[8 Asthma review coded or proxy (inhaler technique) 12m],Table2[OrgID],Practice!$I$2,Table2[Rel_D],H21)/SUMIFS(Table2[C. Patients on the asthma register],Table2[OrgID],Practice!$I$2,Table2[Rel_D],H21),NA())</f>
        <v>0.71563981042654023</v>
      </c>
      <c r="I24" s="63">
        <f>IFERROR(SUMIFS(Table2[8 Asthma review coded or proxy (inhaler technique) 12m],Table2[OrgID],Practice!$I$2,Table2[Rel_D],I21)/SUMIFS(Table2[C. Patients on the asthma register],Table2[OrgID],Practice!$I$2,Table2[Rel_D],I21),NA())</f>
        <v>0.68571428571428572</v>
      </c>
      <c r="J24" s="63">
        <f>IFERROR(SUMIFS(Table2[8 Asthma review coded or proxy (inhaler technique) 12m],Table2[OrgID],Practice!$I$2,Table2[Rel_D],J21)/SUMIFS(Table2[C. Patients on the asthma register],Table2[OrgID],Practice!$I$2,Table2[Rel_D],J21),NA())</f>
        <v>0.68571428571428572</v>
      </c>
      <c r="K24" s="63">
        <f>IFERROR(SUMIFS(Table2[8 Asthma review coded or proxy (inhaler technique) 12m],Table2[OrgID],Practice!$I$2,Table2[Rel_D],K21)/SUMIFS(Table2[C. Patients on the asthma register],Table2[OrgID],Practice!$I$2,Table2[Rel_D],K21),NA())</f>
        <v>0.68571428571428572</v>
      </c>
      <c r="L24" s="63">
        <f>IFERROR(SUMIFS(Table2[8 Asthma review coded or proxy (inhaler technique) 12m],Table2[OrgID],Practice!$I$2,Table2[Rel_D],L21)/SUMIFS(Table2[C. Patients on the asthma register],Table2[OrgID],Practice!$I$2,Table2[Rel_D],L21),NA())</f>
        <v>0.53170731707317076</v>
      </c>
      <c r="M24" s="63">
        <f>IFERROR(SUMIFS(Table2[8 Asthma review coded or proxy (inhaler technique) 12m],Table2[OrgID],Practice!$I$2,Table2[Rel_D],M21)/SUMIFS(Table2[C. Patients on the asthma register],Table2[OrgID],Practice!$I$2,Table2[Rel_D],M21),NA())</f>
        <v>0.55665024630541871</v>
      </c>
      <c r="N24" s="388">
        <f>IFERROR(SUMIFS(Table2[8 Asthma review coded or proxy (inhaler technique) 12m],Table2[OrgID],Practice!$I$2,Table2[Rel_D],N21)/SUMIFS(Table2[C. Patients on the asthma register],Table2[OrgID],Practice!$I$2,Table2[Rel_D],N21),NA())</f>
        <v>0.55555555555555558</v>
      </c>
      <c r="O24" s="388">
        <f>IFERROR(SUMIFS(Table2[8 Asthma review coded or proxy (inhaler technique) 12m],Table2[OrgID],Practice!$I$2,Table2[Rel_D],O21)/SUMIFS(Table2[C. Patients on the asthma register],Table2[OrgID],Practice!$I$2,Table2[Rel_D],O21),NA())</f>
        <v>0.4854368932038835</v>
      </c>
      <c r="P24" s="388">
        <f>IFERROR(SUMIFS(Table2[8 Asthma review coded or proxy (inhaler technique) 12m],Table2[OrgID],Practice!$I$2,Table2[Rel_D],P21)/SUMIFS(Table2[C. Patients on the asthma register],Table2[OrgID],Practice!$I$2,Table2[Rel_D],P21),NA())</f>
        <v>0.64319248826291076</v>
      </c>
    </row>
    <row r="25" spans="3:16">
      <c r="C25" s="62" t="s">
        <v>9</v>
      </c>
      <c r="D25" s="63">
        <f>IFERROR(SUMIFS(Table2[11 ACT recorded],Table2[OrgID],Practice!$I$2,Table2[Rel_D],D21)/SUMIFS(Table2[8 Asthma review coded or proxy (inhaler technique) 12m],Table2[OrgID],Practice!$I$2,Table2[Rel_D],D21),NA())</f>
        <v>0.9072847682119205</v>
      </c>
      <c r="E25" s="63" t="e">
        <f>IFERROR(SUMIFS(Table2[11 ACT recorded],Table2[OrgID],Practice!$I$2,Table2[Rel_D],E21)/SUMIFS(Table2[8 Asthma review coded or proxy (inhaler technique) 12m],Table2[OrgID],Practice!$I$2,Table2[Rel_D],E21),NA())</f>
        <v>#N/A</v>
      </c>
      <c r="F25" s="63" t="e">
        <f>IFERROR(SUMIFS(Table2[11 ACT recorded],Table2[OrgID],Practice!$I$2,Table2[Rel_D],F21)/SUMIFS(Table2[8 Asthma review coded or proxy (inhaler technique) 12m],Table2[OrgID],Practice!$I$2,Table2[Rel_D],F21),NA())</f>
        <v>#N/A</v>
      </c>
      <c r="G25" s="63">
        <f>IFERROR(SUMIFS(Table2[11 ACT recorded],Table2[OrgID],Practice!$I$2,Table2[Rel_D],G21)/SUMIFS(Table2[8 Asthma review coded or proxy (inhaler technique) 12m],Table2[OrgID],Practice!$I$2,Table2[Rel_D],G21),NA())</f>
        <v>0.92715231788079466</v>
      </c>
      <c r="H25" s="63">
        <f>IFERROR(SUMIFS(Table2[11 ACT recorded],Table2[OrgID],Practice!$I$2,Table2[Rel_D],H21)/SUMIFS(Table2[8 Asthma review coded or proxy (inhaler technique) 12m],Table2[OrgID],Practice!$I$2,Table2[Rel_D],H21),NA())</f>
        <v>0.92715231788079466</v>
      </c>
      <c r="I25" s="63">
        <f>IFERROR(SUMIFS(Table2[11 ACT recorded],Table2[OrgID],Practice!$I$2,Table2[Rel_D],I21)/SUMIFS(Table2[8 Asthma review coded or proxy (inhaler technique) 12m],Table2[OrgID],Practice!$I$2,Table2[Rel_D],I21),NA())</f>
        <v>0.9375</v>
      </c>
      <c r="J25" s="63">
        <f>IFERROR(SUMIFS(Table2[11 ACT recorded],Table2[OrgID],Practice!$I$2,Table2[Rel_D],J21)/SUMIFS(Table2[8 Asthma review coded or proxy (inhaler technique) 12m],Table2[OrgID],Practice!$I$2,Table2[Rel_D],J21),NA())</f>
        <v>0.98611111111111116</v>
      </c>
      <c r="K25" s="63">
        <f>IFERROR(SUMIFS(Table2[11 ACT recorded],Table2[OrgID],Practice!$I$2,Table2[Rel_D],K21)/SUMIFS(Table2[8 Asthma review coded or proxy (inhaler technique) 12m],Table2[OrgID],Practice!$I$2,Table2[Rel_D],K21),NA())</f>
        <v>0.98611111111111116</v>
      </c>
      <c r="L25" s="63">
        <f>IFERROR(SUMIFS(Table2[11 ACT recorded],Table2[OrgID],Practice!$I$2,Table2[Rel_D],L21)/SUMIFS(Table2[8 Asthma review coded or proxy (inhaler technique) 12m],Table2[OrgID],Practice!$I$2,Table2[Rel_D],L21),NA())</f>
        <v>0.97247706422018354</v>
      </c>
      <c r="M25" s="63">
        <f>IFERROR(SUMIFS(Table2[11 ACT recorded],Table2[OrgID],Practice!$I$2,Table2[Rel_D],M21)/SUMIFS(Table2[8 Asthma review coded or proxy (inhaler technique) 12m],Table2[OrgID],Practice!$I$2,Table2[Rel_D],M21),NA())</f>
        <v>0.97345132743362828</v>
      </c>
      <c r="N25" s="388">
        <f>IFERROR(SUMIFS(Table2[11 ACT recorded],Table2[OrgID],Practice!$I$2,Table2[Rel_D],N21)/SUMIFS(Table2[8 Asthma review coded or proxy (inhaler technique) 12m],Table2[OrgID],Practice!$I$2,Table2[Rel_D],N21),NA())</f>
        <v>0.97391304347826091</v>
      </c>
      <c r="O25" s="388">
        <f>IFERROR(SUMIFS(Table2[11 ACT recorded],Table2[OrgID],Practice!$I$2,Table2[Rel_D],O21)/SUMIFS(Table2[8 Asthma review coded or proxy (inhaler technique) 12m],Table2[OrgID],Practice!$I$2,Table2[Rel_D],O21),NA())</f>
        <v>0.98</v>
      </c>
      <c r="P25" s="388">
        <f>IFERROR(SUMIFS(Table2[11 ACT recorded],Table2[OrgID],Practice!$I$2,Table2[Rel_D],P21)/SUMIFS(Table2[8 Asthma review coded or proxy (inhaler technique) 12m],Table2[OrgID],Practice!$I$2,Table2[Rel_D],P21),NA())</f>
        <v>0.99270072992700731</v>
      </c>
    </row>
    <row r="26" spans="3:16">
      <c r="C26" s="61" t="s">
        <v>10</v>
      </c>
      <c r="D26" s="63">
        <f>IFERROR(SUMIFS(Table2[12 Off target, with clinical review (2)],Table2[OrgID],Practice!$I$2,Table2[Rel_D],D21)/SUMIFS(Table2[Off target],Table2[OrgID],Practice!$I$2,Table2[Rel_D],D21),NA())</f>
        <v>0.74714518760195758</v>
      </c>
      <c r="E26" s="63" t="e">
        <f>IFERROR(SUMIFS(Table2[12 Off target, with clinical review (2)],Table2[OrgID],Practice!$I$2,Table2[Rel_D],E21)/SUMIFS(Table2[Off target],Table2[OrgID],Practice!$I$2,Table2[Rel_D],E21),NA())</f>
        <v>#N/A</v>
      </c>
      <c r="F26" s="63" t="e">
        <f>IFERROR(SUMIFS(Table2[12 Off target, with clinical review (2)],Table2[OrgID],Practice!$I$2,Table2[Rel_D],F21)/SUMIFS(Table2[Off target],Table2[OrgID],Practice!$I$2,Table2[Rel_D],F21),NA())</f>
        <v>#N/A</v>
      </c>
      <c r="G26" s="63">
        <f>IFERROR(SUMIFS(Table2[12 Off target, with clinical review (2)],Table2[OrgID],Practice!$I$2,Table2[Rel_D],G21)/SUMIFS(Table2[Off target],Table2[OrgID],Practice!$I$2,Table2[Rel_D],G21),NA())</f>
        <v>0.70610687022900764</v>
      </c>
      <c r="H26" s="63">
        <f>IFERROR(SUMIFS(Table2[12 Off target, with clinical review (2)],Table2[OrgID],Practice!$I$2,Table2[Rel_D],H21)/SUMIFS(Table2[Off target],Table2[OrgID],Practice!$I$2,Table2[Rel_D],H21),NA())</f>
        <v>0.70476190476190481</v>
      </c>
      <c r="I26" s="63">
        <f>IFERROR(SUMIFS(Table2[12 Off target, with clinical review (2)],Table2[OrgID],Practice!$I$2,Table2[Rel_D],I21)/SUMIFS(Table2[Off target],Table2[OrgID],Practice!$I$2,Table2[Rel_D],I21),NA())</f>
        <v>0.69083969465648853</v>
      </c>
      <c r="J26" s="63">
        <f>IFERROR(SUMIFS(Table2[12 Off target, with clinical review (2)],Table2[OrgID],Practice!$I$2,Table2[Rel_D],J21)/SUMIFS(Table2[Off target],Table2[OrgID],Practice!$I$2,Table2[Rel_D],J21),NA())</f>
        <v>0.64849624060150379</v>
      </c>
      <c r="K26" s="63">
        <f>IFERROR(SUMIFS(Table2[12 Off target, with clinical review (2)],Table2[OrgID],Practice!$I$2,Table2[Rel_D],K21)/SUMIFS(Table2[Off target],Table2[OrgID],Practice!$I$2,Table2[Rel_D],K21),NA())</f>
        <v>0.64849624060150379</v>
      </c>
      <c r="L26" s="63">
        <f>IFERROR(SUMIFS(Table2[12 Off target, with clinical review (2)],Table2[OrgID],Practice!$I$2,Table2[Rel_D],L21)/SUMIFS(Table2[Off target],Table2[OrgID],Practice!$I$2,Table2[Rel_D],L21),NA())</f>
        <v>0.5533088235294118</v>
      </c>
      <c r="M26" s="63">
        <f>IFERROR(SUMIFS(Table2[12 Off target, with clinical review (2)],Table2[OrgID],Practice!$I$2,Table2[Rel_D],M21)/SUMIFS(Table2[Off target],Table2[OrgID],Practice!$I$2,Table2[Rel_D],M21),NA())</f>
        <v>0.54710144927536231</v>
      </c>
      <c r="N26" s="388">
        <f>IFERROR(SUMIFS(Table2[12 Off target, with clinical review (2)],Table2[OrgID],Practice!$I$2,Table2[Rel_D],N21)/SUMIFS(Table2[Off target],Table2[OrgID],Practice!$I$2,Table2[Rel_D],N21),NA())</f>
        <v>0.66216216216216217</v>
      </c>
      <c r="O26" s="388">
        <f>IFERROR(SUMIFS(Table2[12 Off target, with clinical review (2)],Table2[OrgID],Practice!$I$2,Table2[Rel_D],O21)/SUMIFS(Table2[Off target],Table2[OrgID],Practice!$I$2,Table2[Rel_D],O21),NA())</f>
        <v>0.64473684210526316</v>
      </c>
      <c r="P26" s="388">
        <f>IFERROR(SUMIFS(Table2[12 Off target, with clinical review (2)],Table2[OrgID],Practice!$I$2,Table2[Rel_D],P21)/SUMIFS(Table2[Off target],Table2[OrgID],Practice!$I$2,Table2[Rel_D],P21),NA())</f>
        <v>0.69529652351738236</v>
      </c>
    </row>
    <row r="34" spans="6:10">
      <c r="F34" s="66" t="s">
        <v>13</v>
      </c>
      <c r="J34" t="s">
        <v>14</v>
      </c>
    </row>
    <row r="35" spans="6:10">
      <c r="F35" s="66" t="s">
        <v>7</v>
      </c>
      <c r="J35" t="s">
        <v>15</v>
      </c>
    </row>
    <row r="36" spans="6:10">
      <c r="F36" s="66" t="s">
        <v>9</v>
      </c>
      <c r="J36" t="s">
        <v>16</v>
      </c>
    </row>
    <row r="37" spans="6:10">
      <c r="F37" s="67" t="s">
        <v>17</v>
      </c>
      <c r="J37" t="s">
        <v>18</v>
      </c>
    </row>
  </sheetData>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6"/>
  <dimension ref="A1:AB38"/>
  <sheetViews>
    <sheetView showGridLines="0" topLeftCell="B1" zoomScaleNormal="100" workbookViewId="0">
      <selection activeCell="F10" sqref="F10"/>
    </sheetView>
  </sheetViews>
  <sheetFormatPr defaultColWidth="0" defaultRowHeight="15" zeroHeight="1"/>
  <cols>
    <col min="1" max="1" width="3.140625" hidden="1" customWidth="1"/>
    <col min="2" max="2" width="1.28515625" customWidth="1"/>
    <col min="3" max="3" width="5" customWidth="1"/>
    <col min="4" max="4" width="12.42578125" customWidth="1"/>
    <col min="5" max="5" width="20.140625" customWidth="1"/>
    <col min="6" max="6" width="53.85546875" customWidth="1"/>
    <col min="7" max="7" width="10.140625" customWidth="1"/>
    <col min="8" max="8" width="5.28515625" customWidth="1"/>
    <col min="9" max="9" width="13.28515625" customWidth="1"/>
    <col min="10" max="10" width="9.5703125" customWidth="1"/>
    <col min="11" max="11" width="11.7109375" customWidth="1"/>
    <col min="12" max="13" width="12.85546875" customWidth="1"/>
    <col min="14" max="14" width="8.7109375" customWidth="1"/>
    <col min="15" max="15" width="10.140625" customWidth="1"/>
    <col min="16" max="16" width="20.42578125" customWidth="1"/>
    <col min="17" max="17" width="8.7109375" customWidth="1"/>
    <col min="18" max="19" width="13.42578125" customWidth="1"/>
    <col min="20" max="21" width="8.7109375" customWidth="1"/>
    <col min="22" max="22" width="10.140625" customWidth="1"/>
    <col min="23" max="23" width="12.28515625" customWidth="1"/>
    <col min="24" max="24" width="11.42578125" customWidth="1"/>
    <col min="25" max="25" width="9.28515625" customWidth="1"/>
    <col min="26" max="26" width="13.140625" customWidth="1"/>
    <col min="27" max="27" width="6.42578125" customWidth="1"/>
    <col min="28" max="28" width="1.140625" customWidth="1"/>
    <col min="29" max="16384" width="8.7109375" hidden="1"/>
  </cols>
  <sheetData>
    <row r="1" spans="3:27" ht="9.6" customHeight="1" thickBot="1"/>
    <row r="2" spans="3:27" ht="15.75" hidden="1" thickBot="1"/>
    <row r="3" spans="3:27" ht="46.5">
      <c r="C3" s="32"/>
      <c r="D3" s="59" t="s">
        <v>19</v>
      </c>
      <c r="E3" s="55"/>
      <c r="F3" s="56"/>
      <c r="G3" s="56"/>
      <c r="H3" s="31"/>
      <c r="I3" s="31"/>
      <c r="J3" s="31"/>
      <c r="K3" s="31"/>
      <c r="L3" s="31"/>
      <c r="M3" s="31"/>
      <c r="N3" s="31"/>
      <c r="O3" s="31"/>
      <c r="P3" s="384"/>
      <c r="Q3" s="383" t="s">
        <v>20</v>
      </c>
      <c r="R3" s="31"/>
      <c r="S3" s="31"/>
      <c r="T3" s="225"/>
      <c r="U3" s="31"/>
      <c r="V3" s="31"/>
      <c r="W3" s="31"/>
      <c r="X3" s="31"/>
      <c r="Y3" s="31"/>
      <c r="Z3" s="31"/>
      <c r="AA3" s="35"/>
    </row>
    <row r="4" spans="3:27">
      <c r="C4" s="33"/>
      <c r="D4" s="34"/>
      <c r="E4" s="34"/>
      <c r="F4" s="34"/>
      <c r="G4" s="34"/>
      <c r="H4" s="34"/>
      <c r="I4" s="34"/>
      <c r="J4" s="34"/>
      <c r="K4" s="34"/>
      <c r="L4" s="34"/>
      <c r="M4" s="34"/>
      <c r="N4" s="34"/>
      <c r="O4" s="34"/>
      <c r="P4" s="34"/>
      <c r="Q4" s="34"/>
      <c r="R4" s="34"/>
      <c r="S4" s="34"/>
      <c r="T4" s="34"/>
      <c r="U4" s="34"/>
      <c r="V4" s="34"/>
      <c r="W4" s="34"/>
      <c r="X4" s="34"/>
      <c r="Y4" s="34"/>
      <c r="Z4" s="34"/>
      <c r="AA4" s="36"/>
    </row>
    <row r="5" spans="3:27">
      <c r="C5" s="37"/>
      <c r="AA5" s="38"/>
    </row>
    <row r="6" spans="3:27" ht="21" customHeight="1" thickBot="1">
      <c r="C6" s="37"/>
      <c r="G6" s="401" t="s">
        <v>21</v>
      </c>
      <c r="H6" s="401"/>
      <c r="I6" s="401"/>
      <c r="J6" s="401"/>
      <c r="K6" s="401"/>
      <c r="L6" s="401"/>
      <c r="M6" s="401"/>
      <c r="N6" s="401"/>
      <c r="O6" s="256"/>
      <c r="P6" s="412" t="s">
        <v>22</v>
      </c>
      <c r="Q6" s="412"/>
      <c r="R6" s="412"/>
      <c r="S6" s="412"/>
      <c r="T6" s="412"/>
      <c r="U6" s="412"/>
      <c r="V6" s="257"/>
      <c r="W6" s="377" t="s">
        <v>23</v>
      </c>
      <c r="X6" s="377"/>
      <c r="Y6" s="377"/>
      <c r="Z6" s="379"/>
      <c r="AA6" s="378"/>
    </row>
    <row r="7" spans="3:27" ht="21" customHeight="1">
      <c r="C7" s="37"/>
      <c r="D7" s="372"/>
      <c r="E7" s="421" t="s">
        <v>24</v>
      </c>
      <c r="F7" s="422"/>
      <c r="G7" s="425" t="s">
        <v>25</v>
      </c>
      <c r="H7" s="426"/>
      <c r="I7" s="426" t="s">
        <v>6</v>
      </c>
      <c r="J7" s="426"/>
      <c r="K7" s="429" t="s">
        <v>26</v>
      </c>
      <c r="L7" s="408" t="s">
        <v>27</v>
      </c>
      <c r="M7" s="415" t="s">
        <v>7</v>
      </c>
      <c r="N7" s="416"/>
      <c r="O7" s="399" t="s">
        <v>28</v>
      </c>
      <c r="P7" s="419" t="s">
        <v>22</v>
      </c>
      <c r="Q7" s="410" t="s">
        <v>12</v>
      </c>
      <c r="R7" s="410"/>
      <c r="S7" s="397" t="s">
        <v>29</v>
      </c>
      <c r="T7" s="410" t="s">
        <v>9</v>
      </c>
      <c r="U7" s="410"/>
      <c r="V7" s="397" t="s">
        <v>30</v>
      </c>
      <c r="W7" s="406" t="s">
        <v>31</v>
      </c>
      <c r="X7" s="402" t="s">
        <v>10</v>
      </c>
      <c r="Y7" s="403"/>
      <c r="Z7" s="396" t="s">
        <v>32</v>
      </c>
      <c r="AA7" s="38"/>
    </row>
    <row r="8" spans="3:27" ht="41.1" customHeight="1">
      <c r="C8" s="37"/>
      <c r="D8" s="371"/>
      <c r="E8" s="423"/>
      <c r="F8" s="424"/>
      <c r="G8" s="427"/>
      <c r="H8" s="428"/>
      <c r="I8" s="428" t="e">
        <f>SUMIFS(#REF!,#REF!,$E8,#REF!,$E$59)</f>
        <v>#REF!</v>
      </c>
      <c r="J8" s="428" t="str">
        <f>IFERROR(I8/G8, "-")</f>
        <v>-</v>
      </c>
      <c r="K8" s="430"/>
      <c r="L8" s="409"/>
      <c r="M8" s="417"/>
      <c r="N8" s="418"/>
      <c r="O8" s="400"/>
      <c r="P8" s="420"/>
      <c r="Q8" s="411" t="e">
        <f>SUMIFS(#REF!,#REF!,Details!C11,#REF!,Details!$D$61)</f>
        <v>#REF!</v>
      </c>
      <c r="R8" s="411" t="e">
        <f>SUMIFS(#REF!,#REF!,Details!#REF!,#REF!,Details!$D$61)</f>
        <v>#REF!</v>
      </c>
      <c r="S8" s="398"/>
      <c r="T8" s="411" t="e">
        <f>SUMIFS(#REF!,#REF!,$E8,#REF!,$E$59)</f>
        <v>#REF!</v>
      </c>
      <c r="U8" s="411" t="str">
        <f>IFERROR(T8/Q8, "-")</f>
        <v>-</v>
      </c>
      <c r="V8" s="398"/>
      <c r="W8" s="407"/>
      <c r="X8" s="404"/>
      <c r="Y8" s="405"/>
      <c r="Z8" s="396"/>
      <c r="AA8" s="38"/>
    </row>
    <row r="9" spans="3:27" ht="20.100000000000001" customHeight="1">
      <c r="C9" s="37"/>
      <c r="D9" s="373"/>
      <c r="E9" s="376" t="s">
        <v>33</v>
      </c>
      <c r="F9" s="173" t="s">
        <v>34</v>
      </c>
      <c r="G9" s="501">
        <f>IF(COUNTIFS(Table2[OrgID],Practice!I2,Table2[Rel_D],Details!$D$61) =0,"-",(SUMIFS(Table2[Type 2 diabetics],Table2[OrgID],Practice!I2,Table2[Rel_D],Details!$D$61)))</f>
        <v>364</v>
      </c>
      <c r="H9" s="502" t="e">
        <f>SUMIFS(#REF!,#REF!,D9,#REF!,Details!$D$61)</f>
        <v>#REF!</v>
      </c>
      <c r="I9" s="174">
        <f>IF(COUNTIFS(Table2[OrgID],Practice!I2,Table2[Rel_D],Details!$D$61) =0, "-",SUMIFS(Table2[1 Diabetes review recorded or proxy 12m],Table2[OrgID],Practice!I2,Table2[Rel_D],Details!$D$61))</f>
        <v>240</v>
      </c>
      <c r="J9" s="175">
        <f>IFERROR(I9/G9, "-")</f>
        <v>0.65934065934065933</v>
      </c>
      <c r="K9" s="273">
        <f>SUMIFS(Table2[1 Diabetes review recorded or proxy 12m],Table2[OrgID],Practice!$I$2,Table2[Rel_D],Control!$J$9)/(SUMIFS(Table2[Type 2 diabetics],Table2[OrgID],Practice!$I$2,Table2[Rel_D],Control!$J$9))</f>
        <v>0.59944751381215466</v>
      </c>
      <c r="L9" s="176">
        <f>IF(COUNTIFS(Table2[OrgID],Practice!I2,Table2[Rel_D],Details!$D$61) =0, "-",SUMIFS(Table2[Eligible for triple target],Table2[OrgID],Practice!I2,Table2[Rel_D],Details!$D$61))</f>
        <v>271</v>
      </c>
      <c r="M9" s="177">
        <f>IF(COUNTIFS(Table2[OrgID],Practice!I2,Table2[Rel_D],Details!$D$61) =0, "-",SUMIFS(Table2[3 Triple target achieved],Table2[OrgID],Practice!I2,Table2[Rel_D],Details!$D$61))</f>
        <v>41</v>
      </c>
      <c r="N9" s="178">
        <f>IFERROR(M9/L9, "-")</f>
        <v>0.15129151291512916</v>
      </c>
      <c r="O9" s="273">
        <f>SUMIFS(Table2[3 Triple target achieved],Table2[OrgID],Practice!$I$2,Table2[Rel_D],Control!$J$9)/(SUMIFS(Table2[Eligible for triple target],Table2[OrgID],Practice!$I$2,Table2[Rel_D],Control!$J$9))</f>
        <v>0</v>
      </c>
      <c r="P9" s="174">
        <f>IF(COUNTIFS(Table2[OrgID],Practice!I2,Table2[Rel_D],Details!$D$61) =0, "-",SUMIFS(Table2[C. Patients on the asthma register],Table2[OrgID],Practice!I2,Table2[Rel_D],Details!$D$61))</f>
        <v>213</v>
      </c>
      <c r="Q9" s="208">
        <f>IF(COUNTIFS(Table2[OrgID],Practice!I2,Table2[Rel_D],Details!$D$61) =0, "-",SUMIFS(Table2[8 Asthma review coded or proxy (inhaler technique) 12m],Table2[OrgID],Practice!I2,Table2[Rel_D],Details!$D$61))</f>
        <v>137</v>
      </c>
      <c r="R9" s="220">
        <f>IFERROR(Q9/P9, "-")</f>
        <v>0.64319248826291076</v>
      </c>
      <c r="S9" s="270">
        <f>SUMIFS(Table2[8 Asthma review coded or proxy (inhaler technique) 12m],Table2[OrgID],Practice!$I$2,Table2[Rel_D],Control!$J$9)/(SUMIFS(Table2[C. Patients on the asthma register],Table2[OrgID],Practice!$I$2,Table2[Rel_D],Control!$J$9))</f>
        <v>0.70892018779342725</v>
      </c>
      <c r="T9" s="179">
        <f>IF(COUNTIFS(Table2[OrgID],Practice!I2,Table2[Rel_D],Details!$D$61) =0,"-",SUMIFS(Table2[11 ACT recorded],Table2[OrgID],Practice!I2,Table2[Rel_D],Details!$D$61))</f>
        <v>136</v>
      </c>
      <c r="U9" s="180">
        <f>IFERROR(T9/Q9, "-")</f>
        <v>0.99270072992700731</v>
      </c>
      <c r="V9" s="267">
        <f>SUMIFS(Table2[11 ACT recorded],Table2[OrgID],Practice!$I$2,Table2[Rel_D],Control!$J$9)/(SUMIFS(Table2[8 Asthma review coded or proxy (inhaler technique) 12m],Table2[OrgID],Practice!$I$2,Table2[Rel_D],Control!$J$9))</f>
        <v>0.9072847682119205</v>
      </c>
      <c r="W9" s="179">
        <f>IF(COUNTIFS(Table2[OrgID],Practice!I2,Table2[Rel_D],Details!$D$61) =0, "-",SUMIFS(Table2[Off target],Table2[OrgID],Practice!I2,Table2[Rel_D],Details!$D$61))</f>
        <v>489</v>
      </c>
      <c r="X9" s="181">
        <f>IFERROR(IF(COUNTIFS(Table2[OrgID],Practice!I2,Table2[Rel_D],Details!$D$61) =0, "-",SUMIFS(Table2[12 Off target, with clinical review (2)],Table2[OrgID],Practice!I2,Table2[Rel_D],Details!$D$61)),"-")</f>
        <v>340</v>
      </c>
      <c r="Y9" s="275">
        <f>IFERROR(X9/W9, "-")</f>
        <v>0.69529652351738236</v>
      </c>
      <c r="Z9" s="380">
        <f>SUMIFS(Table2[12 Off target, with clinical review (2)],Table2[OrgID],Practice!$I$2,Table2[Rel_D],Control!$J$9)/(SUMIFS(Table2[Off target],Table2[OrgID],Practice!$I$2,Table2[Rel_D],Control!$J$9))</f>
        <v>0.74714518760195758</v>
      </c>
      <c r="AA9" s="38"/>
    </row>
    <row r="10" spans="3:27" ht="20.100000000000001" customHeight="1">
      <c r="C10" s="37"/>
      <c r="D10" s="374"/>
      <c r="E10" s="369" t="s">
        <v>35</v>
      </c>
      <c r="F10" s="224" t="str">
        <f>VLOOKUP(Practice!$J$2,Practice!$I$13:$K$19,2,0)</f>
        <v>Chingford/ Walthamstow</v>
      </c>
      <c r="G10" s="503">
        <f>IF(COUNTIFS(Table2[SubLocality ID],Practice!J2,Table2[Rel_D],Details!$D$61) =0,"-",SUMIFS(Table2[Type 2 diabetics],Table2[SubLocality ID],Practice!J2,Table2[Rel_D],Details!$D$61))</f>
        <v>2474</v>
      </c>
      <c r="H10" s="504"/>
      <c r="I10" s="44">
        <f>IF(COUNTIFS(Table2[SubLocality ID],Practice!J2,Table2[Rel_D],Details!$D$61) =0,"-",SUMIFS(Table2[1 Diabetes review recorded or proxy 12m],Table2[SubLocality ID],Practice!J2,Table2[Rel_D],Details!$D$61))</f>
        <v>1464</v>
      </c>
      <c r="J10" s="45">
        <f>IFERROR(I10/G10, "-")</f>
        <v>0.59175424413904609</v>
      </c>
      <c r="K10" s="274">
        <f>SUMIFS(Table2[1 Diabetes review recorded or proxy 12m],Table2[SubLocality ID],Practice!$J$2,Table2[Rel_D],Control!$J$9)/SUMIFS(Table2[Type 2 diabetics],Table2[SubLocality ID],Practice!$J$2,Table2[Rel_D],Control!$J$9)</f>
        <v>0.52530322040987032</v>
      </c>
      <c r="L10" s="46">
        <f>IF(COUNTIFS(Table2[SubLocality ID],Practice!J2,Table2[Rel_D],Details!$D$61) =0,"-",SUMIFS(Table2[Eligible for triple target],Table2[SubLocality ID],Practice!$J2,Table2[Rel_D],Details!$D$61))</f>
        <v>1661</v>
      </c>
      <c r="M10" s="169">
        <f>IF(COUNTIFS(Table2[SubLocality ID],Practice!J2,Table2[Rel_D],Details!$D$61) =0,"-",SUMIFS(Table2[3 Triple target achieved],Table2[SubLocality ID],Practice!$J2,Table2[Rel_D],Details!$D$61))</f>
        <v>222</v>
      </c>
      <c r="N10" s="57">
        <f>IFERROR(M10/L10,"-")</f>
        <v>0.13365442504515351</v>
      </c>
      <c r="O10" s="274">
        <f>SUMIFS(Table2[3 Triple target achieved],Table2[SubLocality ID],Practice!$J$2,Table2[Rel_D],Control!$J$9)/SUMIFS(Table2[Eligible for triple target],Table2[SubLocality ID],Practice!$J$2,Table2[Rel_D],Control!$J$9)</f>
        <v>7.7014925373134327E-2</v>
      </c>
      <c r="P10" s="221">
        <f>IF(COUNTIFS(Table2[SubLocality ID],Practice!J2,Table2[Rel_D],Details!$D$61) =0,"-",SUMIFS(Table2[C. Patients on the asthma register],Table2[SubLocality ID],Practice!J2,Table2[Rel_D],Details!$D$61))</f>
        <v>2210</v>
      </c>
      <c r="Q10" s="209">
        <f>IF(COUNTIFS(Table2[SubLocality ID],Practice!J2,Table2[Rel_D],Details!$D$61) =0,"-",SUMIFS(Table2[8 Asthma review coded or proxy (inhaler technique) 12m],Table2[SubLocality ID],Practice!J2,Table2[Rel_D],Details!$D$61))</f>
        <v>1492</v>
      </c>
      <c r="R10" s="222">
        <f>IFERROR(Q10/P10, "-")</f>
        <v>0.67511312217194575</v>
      </c>
      <c r="S10" s="271">
        <f>SUMIFS(Table2[8 Asthma review coded or proxy (inhaler technique) 12m],Table2[SubLocality ID],Practice!$J$2,Table2[Rel_D],Control!$J$9)/SUMIFS(Table2[C. Patients on the asthma register],Table2[SubLocality ID],Practice!$J$2,Table2[Rel_D],Control!$J$9)</f>
        <v>0.69526901669758812</v>
      </c>
      <c r="T10" s="47">
        <f>IF(COUNTIFS(Table2[SubLocality ID],Practice!J2,Table2[Rel_D],Details!$D$61) =0,"-",SUMIFS(Table2[11 ACT recorded],Table2[SubLocality ID],Practice!J2,Table2[Rel_D],Details!$D$61))</f>
        <v>1330</v>
      </c>
      <c r="U10" s="58">
        <f>IFERROR(T10/Q10, "-")</f>
        <v>0.89142091152815017</v>
      </c>
      <c r="V10" s="268">
        <f>SUMIFS(Table2[11 ACT recorded],Table2[SubLocality ID],Practice!$J$2,Table2[Rel_D],Control!$J$9)/SUMIFS(Table2[8 Asthma review coded or proxy (inhaler technique) 12m],Table2[SubLocality ID],Practice!$J$2,Table2[Rel_D],Control!$J$9)</f>
        <v>0.91260840560373579</v>
      </c>
      <c r="W10" s="47">
        <f>IF(COUNTIFS(Table2[SubLocality ID],Practice!J2,Table2[Rel_D],Details!$D$61) =0,"-",SUMIFS(Table2[Off target],Table2[SubLocality ID],Practice!J2,Table2[Rel_D],Details!$D$61))</f>
        <v>2672</v>
      </c>
      <c r="X10" s="171">
        <f>IFERROR(IF(COUNTIFS(Table2[SubLocality ID],Practice!J2,Table2[Rel_D],Details!$D$61) =0, "-",SUMIFS(Table2[12 Off target, with clinical review (2)],Table2[SubLocality ID],Practice!J2,Table2[Rel_D],Details!$D$61)),"-")</f>
        <v>844</v>
      </c>
      <c r="Y10" s="276">
        <f>IFERROR(X10/W10, "-")</f>
        <v>0.31586826347305391</v>
      </c>
      <c r="Z10" s="381">
        <f>SUMIFS(Table2[12 Off target, with clinical review (2)],Table2[SubLocality ID],Practice!$J$2,Table2[Rel_D],Control!$J$9)/SUMIFS(Table2[Off target],Table2[SubLocality ID],Practice!$J$2,Table2[Rel_D],Control!$J$9)</f>
        <v>0.34298880842659646</v>
      </c>
      <c r="AA10" s="38"/>
    </row>
    <row r="11" spans="3:27" ht="20.100000000000001" customHeight="1" thickBot="1">
      <c r="C11" s="37"/>
      <c r="D11" s="375"/>
      <c r="E11" s="370" t="s">
        <v>36</v>
      </c>
      <c r="F11" s="39" t="s">
        <v>37</v>
      </c>
      <c r="G11" s="413">
        <f>IF(COUNTIFS( Table2[Rel_D],Details!$D$61)=0, "-",  SUMIFS(Table2[Type 2 diabetics],Table2[Rel_D],Details!$D$61))</f>
        <v>17112</v>
      </c>
      <c r="H11" s="414" t="e">
        <f>SUMIFS(#REF!,#REF!,D11,#REF!,Details!$D$61)</f>
        <v>#REF!</v>
      </c>
      <c r="I11" s="48">
        <f>IF(COUNTIFS( Table2[Rel_D],Details!$D$61)=0, "-",SUMIFS(Table2[1 Diabetes review recorded or proxy 12m],Table2[Rel_D],Details!$D$61))</f>
        <v>11903</v>
      </c>
      <c r="J11" s="49">
        <f>IFERROR(I11/G11,"-")</f>
        <v>0.69559373539036928</v>
      </c>
      <c r="K11" s="272">
        <f>SUMIFS(Table2[1 Diabetes review recorded or proxy 12m],Table2[Rel_D],Control!$J$9)/SUMIFS(Table2[Type 2 diabetics],Table2[Rel_D],Control!$J$9)</f>
        <v>0.55164715819958976</v>
      </c>
      <c r="L11" s="50">
        <f>IF(COUNTIFS( Table2[Rel_D],Details!$D$61)=0, "-",SUMIFS(Table2[Eligible for triple target],Table2[Rel_D],Details!$D$61))</f>
        <v>10491</v>
      </c>
      <c r="M11" s="170">
        <f>IF(COUNTIFS( Table2[Rel_D],Details!$D$61)=0, "-",SUMIFS(Table2[3 Triple target achieved],Table2[Rel_D],Details!$D$61))</f>
        <v>1506</v>
      </c>
      <c r="N11" s="51">
        <f>IFERROR(M11/L11,"-")</f>
        <v>0.14355161567057478</v>
      </c>
      <c r="O11" s="272">
        <f>SUMIFS(Table2[3 Triple target achieved],Table2[Rel_D],Control!$J$9)/SUMIFS(Table2[Eligible for triple target],Table2[Rel_D],Control!$J$9)</f>
        <v>0.10543627227044312</v>
      </c>
      <c r="P11" s="207">
        <f>IF(COUNTIFS( Table2[Rel_D],Details!$D$61)=0, "-",SUMIFS(Table2[C. Patients on the asthma register],Table2[Rel_D],Details!$D$61))</f>
        <v>13275</v>
      </c>
      <c r="Q11" s="207">
        <f>IF(COUNTIFS( Table2[Rel_D],Details!$D$61)=0, "-",SUMIFS(Table2[8 Asthma review coded or proxy (inhaler technique) 12m],Table2[Rel_D],Details!$D$61))</f>
        <v>9193</v>
      </c>
      <c r="R11" s="223">
        <f>IFERROR(Q11/P11, "-")</f>
        <v>0.69250470809792841</v>
      </c>
      <c r="S11" s="272">
        <f>SUMIFS(Table2[8 Asthma review coded or proxy (inhaler technique) 12m],Table2[Rel_D],Control!$J$9)/SUMIFS(Table2[C. Patients on the asthma register],Table2[Rel_D],Control!$J$9)</f>
        <v>0.65286575003862202</v>
      </c>
      <c r="T11" s="52">
        <f>IF(COUNTIFS( Table2[Rel_D],Details!$D$61)=0, "-",SUMIFS(Table2[11 ACT recorded],Table2[Rel_D],Details!$D$61))</f>
        <v>8825</v>
      </c>
      <c r="U11" s="53">
        <f>IFERROR(T11/Q11,"-")</f>
        <v>0.95996954204285867</v>
      </c>
      <c r="V11" s="269">
        <f>SUMIFS(Table2[11 ACT recorded],Table2[Rel_D],Control!$J$9)/SUMIFS(Table2[8 Asthma review coded or proxy (inhaler technique) 12m],Table2[Rel_D],Control!$J$9)</f>
        <v>0.74384761003312827</v>
      </c>
      <c r="W11" s="54">
        <f>IF(COUNTIFS( Table2[Rel_D],Details!$D$61)=0, "-",SUMIFS(Table2[Off target],Table2[Rel_D],Details!$D$61))</f>
        <v>17175</v>
      </c>
      <c r="X11" s="172">
        <f>IF(COUNTIFS( Table2[Rel_D],Details!$D$61)=0, "-",SUMIFS(Table2[12 Off target, with clinical review (2)],Table2[Rel_D],Details!$D$61))</f>
        <v>6528</v>
      </c>
      <c r="Y11" s="277">
        <f>IFERROR(X11/W11, "-")</f>
        <v>0.3800873362445415</v>
      </c>
      <c r="Z11" s="382">
        <f>SUMIFS(Table2[12 Off target, with clinical review (2)],Table2[Rel_D],Control!$J$9)/SUMIFS(Table2[Off target],Table2[Rel_D],Control!$J$9)</f>
        <v>0.24970757497777571</v>
      </c>
      <c r="AA11" s="38"/>
    </row>
    <row r="12" spans="3:27" ht="20.100000000000001" customHeight="1">
      <c r="C12" s="37"/>
      <c r="E12" s="40"/>
      <c r="F12" s="40"/>
      <c r="G12" s="41"/>
      <c r="H12" s="41"/>
      <c r="I12" s="42"/>
      <c r="J12" s="43"/>
      <c r="K12" s="43"/>
      <c r="L12" s="42"/>
      <c r="M12" s="42"/>
      <c r="N12" s="43"/>
      <c r="O12" s="43"/>
      <c r="P12" s="43"/>
      <c r="Q12" s="42"/>
      <c r="R12" s="42"/>
      <c r="S12" s="42"/>
      <c r="T12" s="42"/>
      <c r="U12" s="43"/>
      <c r="V12" s="43"/>
      <c r="W12" s="42"/>
      <c r="X12" s="42"/>
      <c r="Y12" s="43"/>
      <c r="AA12" s="38"/>
    </row>
    <row r="13" spans="3:27">
      <c r="C13" s="37"/>
      <c r="AA13" s="38"/>
    </row>
    <row r="14" spans="3:27">
      <c r="C14" s="37"/>
      <c r="AA14" s="38"/>
    </row>
    <row r="15" spans="3:27">
      <c r="C15" s="37"/>
      <c r="Z15" s="65"/>
      <c r="AA15" s="38"/>
    </row>
    <row r="16" spans="3:27">
      <c r="C16" s="37"/>
      <c r="W16" s="65" t="s">
        <v>38</v>
      </c>
      <c r="AA16" s="38"/>
    </row>
    <row r="17" spans="1:27">
      <c r="C17" s="37"/>
      <c r="AA17" s="38"/>
    </row>
    <row r="18" spans="1:27">
      <c r="C18" s="37"/>
      <c r="AA18" s="38"/>
    </row>
    <row r="19" spans="1:27">
      <c r="C19" s="37"/>
      <c r="AA19" s="38"/>
    </row>
    <row r="20" spans="1:27">
      <c r="C20" s="37"/>
      <c r="AA20" s="38"/>
    </row>
    <row r="21" spans="1:27">
      <c r="C21" s="37"/>
      <c r="AA21" s="38"/>
    </row>
    <row r="22" spans="1:27">
      <c r="C22" s="37"/>
      <c r="AA22" s="38"/>
    </row>
    <row r="23" spans="1:27">
      <c r="C23" s="37"/>
      <c r="AA23" s="38"/>
    </row>
    <row r="24" spans="1:27">
      <c r="C24" s="37"/>
      <c r="AA24" s="38"/>
    </row>
    <row r="25" spans="1:27">
      <c r="C25" s="37"/>
      <c r="AA25" s="38"/>
    </row>
    <row r="26" spans="1:27">
      <c r="C26" s="37"/>
      <c r="AA26" s="38"/>
    </row>
    <row r="27" spans="1:27">
      <c r="C27" s="37"/>
      <c r="AA27" s="38"/>
    </row>
    <row r="28" spans="1:27">
      <c r="C28" s="37"/>
      <c r="AA28" s="38"/>
    </row>
    <row r="29" spans="1:27">
      <c r="C29" s="37"/>
      <c r="AA29" s="38"/>
    </row>
    <row r="30" spans="1:27">
      <c r="C30" s="37"/>
      <c r="AA30" s="38"/>
    </row>
    <row r="31" spans="1:27" s="183" customFormat="1">
      <c r="A31"/>
      <c r="B31"/>
      <c r="C31" s="182"/>
      <c r="AA31" s="184"/>
    </row>
    <row r="32" spans="1:27" s="183" customFormat="1">
      <c r="A32"/>
      <c r="B32"/>
      <c r="C32" s="182"/>
      <c r="AA32" s="184"/>
    </row>
    <row r="33" spans="1:27" s="183" customFormat="1">
      <c r="A33"/>
      <c r="B33"/>
      <c r="C33" s="182"/>
      <c r="AA33" s="184"/>
    </row>
    <row r="34" spans="1:27" s="183" customFormat="1">
      <c r="A34"/>
      <c r="B34"/>
      <c r="C34" s="182"/>
      <c r="D34" s="199" t="s">
        <v>39</v>
      </c>
      <c r="E34" s="183" t="s">
        <v>40</v>
      </c>
      <c r="J34" s="183" t="s">
        <v>41</v>
      </c>
      <c r="M34" s="183" t="s">
        <v>42</v>
      </c>
      <c r="AA34" s="184"/>
    </row>
    <row r="35" spans="1:27" s="183" customFormat="1" ht="15.75" thickBot="1">
      <c r="A35"/>
      <c r="B35"/>
      <c r="C35" s="185"/>
      <c r="D35" s="186"/>
      <c r="E35" s="186"/>
      <c r="F35" s="186"/>
      <c r="G35" s="186"/>
      <c r="H35" s="186"/>
      <c r="I35" s="186"/>
      <c r="J35" s="186"/>
      <c r="K35" s="186"/>
      <c r="L35" s="186"/>
      <c r="M35" s="186"/>
      <c r="N35" s="186"/>
      <c r="O35" s="186"/>
      <c r="P35" s="186"/>
      <c r="Q35" s="186"/>
      <c r="R35" s="186"/>
      <c r="S35" s="186"/>
      <c r="T35" s="186"/>
      <c r="U35" s="186"/>
      <c r="V35" s="186"/>
      <c r="W35" s="186"/>
      <c r="X35" s="186"/>
      <c r="Y35" s="186"/>
      <c r="Z35" s="186"/>
      <c r="AA35" s="187"/>
    </row>
    <row r="36" spans="1:27"/>
    <row r="37" spans="1:27"/>
    <row r="38" spans="1:27"/>
  </sheetData>
  <mergeCells count="20">
    <mergeCell ref="G11:H11"/>
    <mergeCell ref="M7:N8"/>
    <mergeCell ref="Q7:R8"/>
    <mergeCell ref="P7:P8"/>
    <mergeCell ref="E7:F8"/>
    <mergeCell ref="G7:H8"/>
    <mergeCell ref="I7:J8"/>
    <mergeCell ref="G9:H9"/>
    <mergeCell ref="G10:H10"/>
    <mergeCell ref="K7:K8"/>
    <mergeCell ref="Z7:Z8"/>
    <mergeCell ref="V7:V8"/>
    <mergeCell ref="S7:S8"/>
    <mergeCell ref="O7:O8"/>
    <mergeCell ref="G6:N6"/>
    <mergeCell ref="X7:Y8"/>
    <mergeCell ref="W7:W8"/>
    <mergeCell ref="L7:L8"/>
    <mergeCell ref="T7:U8"/>
    <mergeCell ref="P6:U6"/>
  </mergeCells>
  <pageMargins left="0.7" right="0.7" top="0.75" bottom="0.75" header="0.3" footer="0.3"/>
  <pageSetup paperSize="9" orientation="portrait" r:id="rId1"/>
  <drawing r:id="rId2"/>
  <legacyDrawing r:id="rId3"/>
  <controls>
    <mc:AlternateContent xmlns:mc="http://schemas.openxmlformats.org/markup-compatibility/2006">
      <mc:Choice Requires="x14">
        <control shapeId="7171" r:id="rId4" name="ComboBox1">
          <controlPr defaultSize="0" autoLine="0" linkedCell="Control!E5" listFillRange="Control!B2:C14" r:id="rId5">
            <anchor moveWithCells="1">
              <from>
                <xdr:col>13</xdr:col>
                <xdr:colOff>276225</xdr:colOff>
                <xdr:row>2</xdr:row>
                <xdr:rowOff>171450</xdr:rowOff>
              </from>
              <to>
                <xdr:col>15</xdr:col>
                <xdr:colOff>742950</xdr:colOff>
                <xdr:row>2</xdr:row>
                <xdr:rowOff>485775</xdr:rowOff>
              </to>
            </anchor>
          </controlPr>
        </control>
      </mc:Choice>
      <mc:Fallback>
        <control shapeId="7171" r:id="rId4" name="ComboBox1"/>
      </mc:Fallback>
    </mc:AlternateContent>
  </control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200-000000000000}">
          <x14:formula1>
            <xm:f>Practice!B$2:B$40</xm:f>
          </x14:formula1>
          <xm:sqref>F9</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B2:AH64"/>
  <sheetViews>
    <sheetView topLeftCell="Q2" zoomScaleNormal="100" workbookViewId="0">
      <selection activeCell="Y7" sqref="Y7"/>
    </sheetView>
  </sheetViews>
  <sheetFormatPr defaultRowHeight="15"/>
  <cols>
    <col min="23" max="23" width="15.85546875" customWidth="1"/>
    <col min="34" max="34" width="10.42578125" bestFit="1" customWidth="1"/>
  </cols>
  <sheetData>
    <row r="2" spans="2:34">
      <c r="AH2" t="s">
        <v>43</v>
      </c>
    </row>
    <row r="3" spans="2:34" ht="60.75" thickBot="1">
      <c r="W3" s="367" t="s">
        <v>44</v>
      </c>
      <c r="AC3" t="s">
        <v>45</v>
      </c>
      <c r="AD3" t="s">
        <v>46</v>
      </c>
      <c r="AE3" t="s">
        <v>47</v>
      </c>
      <c r="AH3" s="16">
        <v>44075</v>
      </c>
    </row>
    <row r="4" spans="2:34">
      <c r="B4" t="s">
        <v>48</v>
      </c>
      <c r="C4" t="s">
        <v>49</v>
      </c>
      <c r="D4" t="s">
        <v>50</v>
      </c>
      <c r="E4" t="s">
        <v>51</v>
      </c>
      <c r="V4" t="s">
        <v>52</v>
      </c>
      <c r="W4" s="339">
        <v>1.3468013468013467E-2</v>
      </c>
      <c r="AG4" t="s">
        <v>53</v>
      </c>
    </row>
    <row r="5" spans="2:34">
      <c r="V5" t="s">
        <v>54</v>
      </c>
      <c r="W5" s="340">
        <v>3.952569169960474E-3</v>
      </c>
      <c r="AA5" t="s">
        <v>55</v>
      </c>
      <c r="AB5" t="s">
        <v>56</v>
      </c>
      <c r="AC5" t="e">
        <f>SUMIFS(#REF!,#REF!,'static figure for off target CR'!AB5,#REF!,AH3)</f>
        <v>#REF!</v>
      </c>
      <c r="AD5">
        <v>1140</v>
      </c>
      <c r="AE5" s="63" t="e">
        <f>AD5/AC5</f>
        <v>#REF!</v>
      </c>
      <c r="AG5" s="64" t="e">
        <f>1-AE5</f>
        <v>#REF!</v>
      </c>
    </row>
    <row r="6" spans="2:34">
      <c r="B6" t="s">
        <v>57</v>
      </c>
      <c r="C6" t="s">
        <v>58</v>
      </c>
      <c r="D6" t="s">
        <v>56</v>
      </c>
      <c r="E6" t="s">
        <v>59</v>
      </c>
      <c r="V6" t="s">
        <v>57</v>
      </c>
      <c r="W6" s="340">
        <v>0.18718381112984822</v>
      </c>
      <c r="AA6" t="s">
        <v>60</v>
      </c>
      <c r="AB6" t="s">
        <v>59</v>
      </c>
      <c r="AC6" t="e">
        <f>SUMIFS(#REF!,#REF!,'static figure for off target CR'!AB6,#REF!,'static figure for off target CR'!AH3)</f>
        <v>#REF!</v>
      </c>
      <c r="AD6">
        <v>917</v>
      </c>
      <c r="AE6" s="63" t="e">
        <f t="shared" ref="AE6:AE9" si="0">AD6/AC6</f>
        <v>#REF!</v>
      </c>
      <c r="AG6" s="64" t="e">
        <f>1-AE6</f>
        <v>#REF!</v>
      </c>
    </row>
    <row r="7" spans="2:34">
      <c r="V7" t="s">
        <v>61</v>
      </c>
      <c r="W7" s="340">
        <v>3.6585365853658534E-2</v>
      </c>
      <c r="AA7" t="s">
        <v>62</v>
      </c>
      <c r="AB7" t="s">
        <v>63</v>
      </c>
      <c r="AC7" t="e">
        <f>SUMIFS(#REF!,#REF!,'static figure for off target CR'!AB7,#REF!,'static figure for off target CR'!AH3)</f>
        <v>#REF!</v>
      </c>
      <c r="AD7">
        <v>715</v>
      </c>
      <c r="AE7" s="63" t="e">
        <f t="shared" si="0"/>
        <v>#REF!</v>
      </c>
      <c r="AG7" s="64" t="e">
        <f>1-AE7</f>
        <v>#REF!</v>
      </c>
    </row>
    <row r="8" spans="2:34">
      <c r="B8">
        <v>4056</v>
      </c>
      <c r="C8">
        <v>5774</v>
      </c>
      <c r="D8">
        <v>12357</v>
      </c>
      <c r="E8">
        <v>12031</v>
      </c>
      <c r="V8" t="s">
        <v>64</v>
      </c>
      <c r="W8" s="340">
        <v>0.10743801652892562</v>
      </c>
      <c r="AA8" t="s">
        <v>48</v>
      </c>
      <c r="AB8" t="s">
        <v>57</v>
      </c>
      <c r="AC8" t="e">
        <f>SUMIFS(#REF!,#REF!,'static figure for off target CR'!AB8,#REF!,'static figure for off target CR'!AH3)</f>
        <v>#REF!</v>
      </c>
      <c r="AD8">
        <v>482</v>
      </c>
      <c r="AE8" s="63" t="e">
        <f t="shared" si="0"/>
        <v>#REF!</v>
      </c>
      <c r="AG8" s="64" t="e">
        <f>1-AE8</f>
        <v>#REF!</v>
      </c>
    </row>
    <row r="9" spans="2:34">
      <c r="B9">
        <v>385</v>
      </c>
      <c r="C9">
        <v>394</v>
      </c>
      <c r="D9">
        <v>642</v>
      </c>
      <c r="E9">
        <v>840</v>
      </c>
      <c r="V9" t="s">
        <v>65</v>
      </c>
      <c r="W9" s="340">
        <v>2.5125628140703519E-2</v>
      </c>
      <c r="AA9" t="s">
        <v>49</v>
      </c>
      <c r="AB9" t="s">
        <v>58</v>
      </c>
      <c r="AC9" t="e">
        <f>SUMIFS(#REF!,#REF!,'static figure for off target CR'!AB9,#REF!,'static figure for off target CR'!AH3)</f>
        <v>#REF!</v>
      </c>
      <c r="AD9">
        <v>380</v>
      </c>
      <c r="AE9" s="63" t="e">
        <f t="shared" si="0"/>
        <v>#REF!</v>
      </c>
      <c r="AG9" s="64" t="e">
        <f>1-AE9</f>
        <v>#REF!</v>
      </c>
    </row>
    <row r="10" spans="2:34">
      <c r="B10">
        <v>394</v>
      </c>
      <c r="C10">
        <v>397</v>
      </c>
      <c r="D10">
        <v>659</v>
      </c>
      <c r="E10">
        <v>847</v>
      </c>
      <c r="V10" t="s">
        <v>66</v>
      </c>
      <c r="W10" s="340">
        <v>4.8611111111111112E-2</v>
      </c>
    </row>
    <row r="11" spans="2:34" ht="15.75" thickBot="1">
      <c r="B11">
        <v>143</v>
      </c>
      <c r="C11">
        <v>269</v>
      </c>
      <c r="D11">
        <v>345</v>
      </c>
      <c r="E11">
        <v>393</v>
      </c>
      <c r="V11" t="s">
        <v>58</v>
      </c>
      <c r="W11" s="341">
        <v>3.553299492385787E-2</v>
      </c>
    </row>
    <row r="12" spans="2:34" ht="15.75" thickBot="1">
      <c r="B12">
        <v>296</v>
      </c>
      <c r="C12">
        <v>336</v>
      </c>
      <c r="D12">
        <v>462</v>
      </c>
      <c r="E12">
        <v>716</v>
      </c>
      <c r="V12" t="s">
        <v>67</v>
      </c>
      <c r="W12" s="306">
        <v>6.4093728463128871E-2</v>
      </c>
    </row>
    <row r="13" spans="2:34">
      <c r="B13">
        <v>47</v>
      </c>
      <c r="C13">
        <v>67</v>
      </c>
      <c r="D13">
        <v>83</v>
      </c>
      <c r="E13">
        <v>92</v>
      </c>
      <c r="V13" t="s">
        <v>56</v>
      </c>
      <c r="W13" s="342">
        <v>0.27756653992395436</v>
      </c>
      <c r="AC13" t="s">
        <v>68</v>
      </c>
      <c r="AD13" t="s">
        <v>68</v>
      </c>
      <c r="AE13" t="s">
        <v>68</v>
      </c>
    </row>
    <row r="14" spans="2:34">
      <c r="B14">
        <v>73</v>
      </c>
      <c r="C14">
        <v>80</v>
      </c>
      <c r="D14">
        <v>152</v>
      </c>
      <c r="E14">
        <v>123</v>
      </c>
      <c r="V14" t="s">
        <v>69</v>
      </c>
      <c r="W14" s="340">
        <v>7.889546351084813E-3</v>
      </c>
      <c r="AC14" t="e">
        <f>SUMIFS(#REF!,#REF!, AH3)</f>
        <v>#REF!</v>
      </c>
      <c r="AD14" t="e">
        <f>SUMIFS(#REF!,#REF!, AH3)</f>
        <v>#REF!</v>
      </c>
      <c r="AE14" s="63" t="e">
        <f>AD14/AC14</f>
        <v>#REF!</v>
      </c>
    </row>
    <row r="15" spans="2:34">
      <c r="B15">
        <v>52</v>
      </c>
      <c r="C15">
        <v>77</v>
      </c>
      <c r="D15">
        <v>110</v>
      </c>
      <c r="E15">
        <v>56</v>
      </c>
      <c r="V15" t="s">
        <v>70</v>
      </c>
      <c r="W15" s="340">
        <v>0.26750000000000002</v>
      </c>
    </row>
    <row r="16" spans="2:34">
      <c r="B16">
        <v>4</v>
      </c>
      <c r="C16">
        <v>1</v>
      </c>
      <c r="D16">
        <v>80</v>
      </c>
      <c r="E16">
        <v>19</v>
      </c>
      <c r="V16" t="s">
        <v>71</v>
      </c>
      <c r="W16" s="340">
        <v>2.2018348623853212E-2</v>
      </c>
    </row>
    <row r="17" spans="2:31" ht="15.75" thickBot="1">
      <c r="B17">
        <v>1</v>
      </c>
      <c r="C17">
        <v>1</v>
      </c>
      <c r="D17">
        <v>85</v>
      </c>
      <c r="E17">
        <v>0</v>
      </c>
      <c r="V17" t="s">
        <v>72</v>
      </c>
      <c r="W17" s="341">
        <v>4.4715447154471545E-2</v>
      </c>
      <c r="AC17" t="s">
        <v>45</v>
      </c>
      <c r="AD17" t="s">
        <v>46</v>
      </c>
      <c r="AE17" t="s">
        <v>73</v>
      </c>
    </row>
    <row r="18" spans="2:31" ht="15.75" thickBot="1">
      <c r="B18">
        <v>232</v>
      </c>
      <c r="C18">
        <v>386</v>
      </c>
      <c r="D18">
        <v>761</v>
      </c>
      <c r="E18">
        <v>566</v>
      </c>
      <c r="V18" t="s">
        <v>74</v>
      </c>
      <c r="W18" s="306">
        <v>0.18471164309031557</v>
      </c>
      <c r="AA18" s="72" t="s">
        <v>52</v>
      </c>
      <c r="AC18" t="e">
        <f>SUMIFS(#REF!,#REF!,$AA18,#REF!,$AH$3)</f>
        <v>#REF!</v>
      </c>
      <c r="AD18" s="87" t="e">
        <f>SUMIFS(#REF!,#REF!,$AA18,#REF!,$AH$3)</f>
        <v>#REF!</v>
      </c>
      <c r="AE18" s="63" t="e">
        <f>AD18/AC18</f>
        <v>#REF!</v>
      </c>
    </row>
    <row r="19" spans="2:31">
      <c r="B19">
        <v>127</v>
      </c>
      <c r="C19">
        <v>328</v>
      </c>
      <c r="D19">
        <v>506</v>
      </c>
      <c r="E19">
        <v>219</v>
      </c>
      <c r="V19" t="s">
        <v>75</v>
      </c>
      <c r="W19" s="342">
        <v>5.8407079646017698E-2</v>
      </c>
      <c r="AA19" s="74" t="s">
        <v>54</v>
      </c>
      <c r="AC19" t="e">
        <f>SUMIFS(#REF!,#REF!,$AA19,#REF!,$AH$3)</f>
        <v>#REF!</v>
      </c>
      <c r="AD19" s="87" t="e">
        <f>SUMIFS(#REF!,#REF!,$AA19,#REF!,$AH$3)</f>
        <v>#REF!</v>
      </c>
      <c r="AE19" s="63" t="e">
        <f t="shared" ref="AE19:AE64" si="1">AD19/AC19</f>
        <v>#REF!</v>
      </c>
    </row>
    <row r="20" spans="2:31">
      <c r="B20">
        <v>86</v>
      </c>
      <c r="C20">
        <v>44</v>
      </c>
      <c r="D20">
        <v>384</v>
      </c>
      <c r="E20">
        <v>68</v>
      </c>
      <c r="V20" t="s">
        <v>76</v>
      </c>
      <c r="W20" s="340">
        <v>6.5217391304347824E-2</v>
      </c>
      <c r="AA20" s="74" t="s">
        <v>57</v>
      </c>
      <c r="AC20" t="e">
        <f>SUMIFS(#REF!,#REF!,$AA20,#REF!,$AH$3)</f>
        <v>#REF!</v>
      </c>
      <c r="AD20" s="87" t="e">
        <f>SUMIFS(#REF!,#REF!,$AA20,#REF!,$AH$3)</f>
        <v>#REF!</v>
      </c>
      <c r="AE20" s="63" t="e">
        <f t="shared" si="1"/>
        <v>#REF!</v>
      </c>
    </row>
    <row r="21" spans="2:31" ht="15.75" thickBot="1">
      <c r="B21">
        <v>3</v>
      </c>
      <c r="C21">
        <v>7</v>
      </c>
      <c r="D21">
        <v>340</v>
      </c>
      <c r="E21">
        <v>34</v>
      </c>
      <c r="V21" t="s">
        <v>59</v>
      </c>
      <c r="W21" s="341">
        <v>4.7767393561786088E-2</v>
      </c>
      <c r="AA21" s="74" t="s">
        <v>61</v>
      </c>
      <c r="AC21" t="e">
        <f>SUMIFS(#REF!,#REF!,$AA21,#REF!,$AH$3)</f>
        <v>#REF!</v>
      </c>
      <c r="AD21" s="87" t="e">
        <f>SUMIFS(#REF!,#REF!,$AA21,#REF!,$AH$3)</f>
        <v>#REF!</v>
      </c>
      <c r="AE21" s="63" t="e">
        <f t="shared" si="1"/>
        <v>#REF!</v>
      </c>
    </row>
    <row r="22" spans="2:31" ht="15.75" thickBot="1">
      <c r="B22">
        <v>801</v>
      </c>
      <c r="C22">
        <v>739</v>
      </c>
      <c r="D22">
        <v>1976</v>
      </c>
      <c r="E22">
        <v>1364</v>
      </c>
      <c r="V22" t="s">
        <v>77</v>
      </c>
      <c r="W22" s="306">
        <v>5.5063913470993119E-2</v>
      </c>
      <c r="AA22" s="74" t="s">
        <v>64</v>
      </c>
      <c r="AC22" t="e">
        <f>SUMIFS(#REF!,#REF!,$AA22,#REF!,$AH$3)</f>
        <v>#REF!</v>
      </c>
      <c r="AD22" s="87" t="e">
        <f>SUMIFS(#REF!,#REF!,$AA22,#REF!,$AH$3)</f>
        <v>#REF!</v>
      </c>
      <c r="AE22" s="63" t="e">
        <f t="shared" si="1"/>
        <v>#REF!</v>
      </c>
    </row>
    <row r="23" spans="2:31">
      <c r="B23">
        <v>208</v>
      </c>
      <c r="C23">
        <v>345</v>
      </c>
      <c r="D23">
        <v>398</v>
      </c>
      <c r="E23">
        <v>401</v>
      </c>
      <c r="V23" t="s">
        <v>78</v>
      </c>
      <c r="W23" s="342">
        <v>3.4848484848484851E-2</v>
      </c>
      <c r="AA23" s="74" t="s">
        <v>65</v>
      </c>
      <c r="AC23" t="e">
        <f>SUMIFS(#REF!,#REF!,$AA23,#REF!,$AH$3)</f>
        <v>#REF!</v>
      </c>
      <c r="AD23" s="87" t="e">
        <f>SUMIFS(#REF!,#REF!,$AA23,#REF!,$AH$3)</f>
        <v>#REF!</v>
      </c>
      <c r="AE23" s="63" t="e">
        <f t="shared" si="1"/>
        <v>#REF!</v>
      </c>
    </row>
    <row r="24" spans="2:31">
      <c r="B24">
        <v>593</v>
      </c>
      <c r="C24">
        <v>394</v>
      </c>
      <c r="D24">
        <v>1578</v>
      </c>
      <c r="E24">
        <v>963</v>
      </c>
      <c r="F24">
        <v>989</v>
      </c>
      <c r="V24" t="s">
        <v>79</v>
      </c>
      <c r="W24" s="341">
        <v>2.663934426229508E-2</v>
      </c>
      <c r="AA24" s="74" t="s">
        <v>66</v>
      </c>
      <c r="AC24" t="e">
        <f>SUMIFS(#REF!,#REF!,$AA24,#REF!,$AH$3)</f>
        <v>#REF!</v>
      </c>
      <c r="AD24" s="87" t="e">
        <f>SUMIFS(#REF!,#REF!,$AA24,#REF!,$AH$3)</f>
        <v>#REF!</v>
      </c>
      <c r="AE24" s="63" t="e">
        <f t="shared" si="1"/>
        <v>#REF!</v>
      </c>
    </row>
    <row r="25" spans="2:31" ht="15.75" thickBot="1">
      <c r="V25" t="s">
        <v>80</v>
      </c>
      <c r="W25" s="340">
        <v>0.17777777777777778</v>
      </c>
      <c r="AA25" s="76" t="s">
        <v>58</v>
      </c>
      <c r="AC25" t="e">
        <f>SUMIFS(#REF!,#REF!,$AA25,#REF!,$AH$3)</f>
        <v>#REF!</v>
      </c>
      <c r="AD25" s="87" t="e">
        <f>SUMIFS(#REF!,#REF!,$AA25,#REF!,$AH$3)</f>
        <v>#REF!</v>
      </c>
      <c r="AE25" s="63" t="e">
        <f t="shared" si="1"/>
        <v>#REF!</v>
      </c>
    </row>
    <row r="26" spans="2:31" ht="15.75" thickBot="1">
      <c r="B26">
        <v>207</v>
      </c>
      <c r="C26">
        <v>213</v>
      </c>
      <c r="D26">
        <v>544</v>
      </c>
      <c r="E26">
        <v>549</v>
      </c>
      <c r="F26">
        <v>336</v>
      </c>
      <c r="V26" t="s">
        <v>81</v>
      </c>
      <c r="W26" s="340">
        <v>6.5789473684210523E-3</v>
      </c>
      <c r="AA26" s="385" t="s">
        <v>67</v>
      </c>
      <c r="AB26" s="386"/>
      <c r="AC26" s="386" t="e">
        <f>SUM(AC18:AC25)</f>
        <v>#REF!</v>
      </c>
      <c r="AD26" s="386" t="e">
        <f>SUM(AD18:AD25)</f>
        <v>#REF!</v>
      </c>
      <c r="AE26" s="63" t="e">
        <f t="shared" si="1"/>
        <v>#REF!</v>
      </c>
    </row>
    <row r="27" spans="2:31">
      <c r="B27">
        <v>96</v>
      </c>
      <c r="C27">
        <v>94</v>
      </c>
      <c r="D27">
        <v>277</v>
      </c>
      <c r="E27">
        <v>210</v>
      </c>
      <c r="F27">
        <v>120</v>
      </c>
      <c r="V27" t="s">
        <v>82</v>
      </c>
      <c r="W27" s="340">
        <v>3.519061583577713E-2</v>
      </c>
      <c r="AA27" s="78" t="s">
        <v>56</v>
      </c>
      <c r="AC27" t="e">
        <f>SUMIFS(#REF!,#REF!,$AA27,#REF!,$AH$3)</f>
        <v>#REF!</v>
      </c>
      <c r="AD27" s="87" t="e">
        <f>SUMIFS(#REF!,#REF!,$AA27,#REF!,$AH$3)</f>
        <v>#REF!</v>
      </c>
      <c r="AE27" s="63" t="e">
        <f t="shared" si="1"/>
        <v>#REF!</v>
      </c>
    </row>
    <row r="28" spans="2:31">
      <c r="B28">
        <v>264</v>
      </c>
      <c r="C28">
        <v>323</v>
      </c>
      <c r="D28">
        <v>791</v>
      </c>
      <c r="E28">
        <v>494</v>
      </c>
      <c r="F28">
        <v>449</v>
      </c>
      <c r="V28" t="s">
        <v>83</v>
      </c>
      <c r="W28" s="340">
        <v>4.8000000000000001E-2</v>
      </c>
      <c r="AA28" s="74" t="s">
        <v>69</v>
      </c>
      <c r="AC28" t="e">
        <f>SUMIFS(#REF!,#REF!,$AA28,#REF!,$AH$3)</f>
        <v>#REF!</v>
      </c>
      <c r="AD28" s="87" t="e">
        <f>SUMIFS(#REF!,#REF!,$AA28,#REF!,$AH$3)</f>
        <v>#REF!</v>
      </c>
      <c r="AE28" s="63" t="e">
        <f t="shared" si="1"/>
        <v>#REF!</v>
      </c>
    </row>
    <row r="29" spans="2:31" ht="15.75" thickBot="1">
      <c r="B29">
        <v>103</v>
      </c>
      <c r="C29">
        <v>130</v>
      </c>
      <c r="D29">
        <v>415</v>
      </c>
      <c r="E29">
        <v>222</v>
      </c>
      <c r="F29">
        <v>214</v>
      </c>
      <c r="V29" t="s">
        <v>63</v>
      </c>
      <c r="W29" s="341">
        <v>0.27704752275025279</v>
      </c>
      <c r="AA29" s="74" t="s">
        <v>70</v>
      </c>
      <c r="AC29" t="e">
        <f>SUMIFS(#REF!,#REF!,$AA29,#REF!,$AH$3)</f>
        <v>#REF!</v>
      </c>
      <c r="AD29" s="87" t="e">
        <f>SUMIFS(#REF!,#REF!,$AA29,#REF!,$AH$3)</f>
        <v>#REF!</v>
      </c>
      <c r="AE29" s="63" t="e">
        <f t="shared" si="1"/>
        <v>#REF!</v>
      </c>
    </row>
    <row r="30" spans="2:31" ht="15.75" thickBot="1">
      <c r="B30">
        <v>102</v>
      </c>
      <c r="C30">
        <v>130</v>
      </c>
      <c r="D30">
        <v>413</v>
      </c>
      <c r="E30">
        <v>222</v>
      </c>
      <c r="F30">
        <v>214</v>
      </c>
      <c r="V30" t="s">
        <v>84</v>
      </c>
      <c r="W30" s="306">
        <v>0.11795665634674922</v>
      </c>
      <c r="AA30" s="74" t="s">
        <v>71</v>
      </c>
      <c r="AC30" t="e">
        <f>SUMIFS(#REF!,#REF!,$AA30,#REF!,$AH$3)</f>
        <v>#REF!</v>
      </c>
      <c r="AD30" s="87" t="e">
        <f>SUMIFS(#REF!,#REF!,$AA30,#REF!,$AH$3)</f>
        <v>#REF!</v>
      </c>
      <c r="AE30" s="63" t="e">
        <f t="shared" si="1"/>
        <v>#REF!</v>
      </c>
    </row>
    <row r="31" spans="2:31" ht="15.75" thickBot="1">
      <c r="V31" t="s">
        <v>85</v>
      </c>
      <c r="W31" s="342">
        <v>3.3980582524271843E-2</v>
      </c>
      <c r="AA31" s="76" t="s">
        <v>72</v>
      </c>
      <c r="AC31" t="e">
        <f>SUMIFS(#REF!,#REF!,$AA31,#REF!,$AH$3)</f>
        <v>#REF!</v>
      </c>
      <c r="AD31" s="87" t="e">
        <f>SUMIFS(#REF!,#REF!,$AA31,#REF!,$AH$3)</f>
        <v>#REF!</v>
      </c>
      <c r="AE31" s="63" t="e">
        <f t="shared" si="1"/>
        <v>#REF!</v>
      </c>
    </row>
    <row r="32" spans="2:31" ht="15.75" thickBot="1">
      <c r="V32" t="s">
        <v>86</v>
      </c>
      <c r="W32" s="340">
        <v>6.2992125984251968E-2</v>
      </c>
      <c r="AA32" s="385" t="s">
        <v>74</v>
      </c>
      <c r="AB32" s="386"/>
      <c r="AC32" s="386" t="e">
        <f>SUM(AC27:AC31)</f>
        <v>#REF!</v>
      </c>
      <c r="AD32" s="386" t="e">
        <f>SUM(AD27:AD31)</f>
        <v>#REF!</v>
      </c>
      <c r="AE32" s="63" t="e">
        <f t="shared" si="1"/>
        <v>#REF!</v>
      </c>
    </row>
    <row r="33" spans="22:31">
      <c r="V33" t="s">
        <v>87</v>
      </c>
      <c r="W33" s="340">
        <v>9.5890410958904104E-2</v>
      </c>
      <c r="AA33" s="78" t="s">
        <v>75</v>
      </c>
      <c r="AC33" t="e">
        <f>SUMIFS(#REF!,#REF!,$AA33,#REF!,$AH$3)</f>
        <v>#REF!</v>
      </c>
      <c r="AD33" s="87" t="e">
        <f>SUMIFS(#REF!,#REF!,$AA33,#REF!,$AH$3)</f>
        <v>#REF!</v>
      </c>
      <c r="AE33" s="63" t="e">
        <f t="shared" si="1"/>
        <v>#REF!</v>
      </c>
    </row>
    <row r="34" spans="22:31">
      <c r="V34" t="s">
        <v>88</v>
      </c>
      <c r="W34" s="340">
        <v>3.4482758620689655E-2</v>
      </c>
      <c r="AA34" s="74" t="s">
        <v>76</v>
      </c>
      <c r="AC34" t="e">
        <f>SUMIFS(#REF!,#REF!,$AA34,#REF!,$AH$3)</f>
        <v>#REF!</v>
      </c>
      <c r="AD34" s="87" t="e">
        <f>SUMIFS(#REF!,#REF!,$AA34,#REF!,$AH$3)</f>
        <v>#REF!</v>
      </c>
      <c r="AE34" s="63" t="e">
        <f t="shared" si="1"/>
        <v>#REF!</v>
      </c>
    </row>
    <row r="35" spans="22:31" ht="15.75" thickBot="1">
      <c r="V35" t="s">
        <v>89</v>
      </c>
      <c r="W35" s="340">
        <v>0.11124845488257108</v>
      </c>
      <c r="AA35" s="76" t="s">
        <v>59</v>
      </c>
      <c r="AC35" t="e">
        <f>SUMIFS(#REF!,#REF!,$AA35,#REF!,$AH$3)</f>
        <v>#REF!</v>
      </c>
      <c r="AD35" s="87" t="e">
        <f>SUMIFS(#REF!,#REF!,$AA35,#REF!,$AH$3)</f>
        <v>#REF!</v>
      </c>
      <c r="AE35" s="63" t="e">
        <f t="shared" si="1"/>
        <v>#REF!</v>
      </c>
    </row>
    <row r="36" spans="22:31" ht="15.75" thickBot="1">
      <c r="V36" t="s">
        <v>90</v>
      </c>
      <c r="W36" s="341">
        <v>1.948051948051948E-2</v>
      </c>
      <c r="AA36" s="385" t="s">
        <v>77</v>
      </c>
      <c r="AB36" s="386"/>
      <c r="AC36" s="386" t="e">
        <f>SUM(AC33:AC35)</f>
        <v>#REF!</v>
      </c>
      <c r="AD36" s="386" t="e">
        <f>SUM(AD33:AD35)</f>
        <v>#REF!</v>
      </c>
      <c r="AE36" s="63" t="e">
        <f t="shared" si="1"/>
        <v>#REF!</v>
      </c>
    </row>
    <row r="37" spans="22:31" ht="15.75" thickBot="1">
      <c r="V37" t="s">
        <v>91</v>
      </c>
      <c r="W37" s="306">
        <v>7.4860335195530731E-2</v>
      </c>
      <c r="AA37" s="78" t="s">
        <v>78</v>
      </c>
      <c r="AC37" t="e">
        <f>SUMIFS(#REF!,#REF!,$AA37,#REF!,$AH$3)</f>
        <v>#REF!</v>
      </c>
      <c r="AD37" s="87" t="e">
        <f>SUMIFS(#REF!,#REF!,$AA37,#REF!,$AH$3)</f>
        <v>#REF!</v>
      </c>
      <c r="AE37" s="63" t="e">
        <f t="shared" si="1"/>
        <v>#REF!</v>
      </c>
    </row>
    <row r="38" spans="22:31">
      <c r="V38" t="s">
        <v>92</v>
      </c>
      <c r="W38" s="342">
        <v>0.17248062015503876</v>
      </c>
      <c r="AA38" s="76" t="s">
        <v>79</v>
      </c>
      <c r="AC38" t="e">
        <f>SUMIFS(#REF!,#REF!,$AA38,#REF!,$AH$3)</f>
        <v>#REF!</v>
      </c>
      <c r="AD38" s="87" t="e">
        <f>SUMIFS(#REF!,#REF!,$AA38,#REF!,$AH$3)</f>
        <v>#REF!</v>
      </c>
      <c r="AE38" s="63" t="e">
        <f t="shared" si="1"/>
        <v>#REF!</v>
      </c>
    </row>
    <row r="39" spans="22:31">
      <c r="V39" t="s">
        <v>93</v>
      </c>
      <c r="W39" s="340">
        <v>0.16969696969696971</v>
      </c>
      <c r="AA39" s="74" t="s">
        <v>80</v>
      </c>
      <c r="AC39" t="e">
        <f>SUMIFS(#REF!,#REF!,$AA39,#REF!,$AH$3)</f>
        <v>#REF!</v>
      </c>
      <c r="AD39" s="87" t="e">
        <f>SUMIFS(#REF!,#REF!,$AA39,#REF!,$AH$3)</f>
        <v>#REF!</v>
      </c>
      <c r="AE39" s="63" t="e">
        <f t="shared" si="1"/>
        <v>#REF!</v>
      </c>
    </row>
    <row r="40" spans="22:31">
      <c r="V40" t="s">
        <v>94</v>
      </c>
      <c r="W40" s="340">
        <v>4.5454545454545452E-3</v>
      </c>
      <c r="AA40" s="74" t="s">
        <v>81</v>
      </c>
      <c r="AC40" t="e">
        <f>SUMIFS(#REF!,#REF!,$AA40,#REF!,$AH$3)</f>
        <v>#REF!</v>
      </c>
      <c r="AD40" s="87" t="e">
        <f>SUMIFS(#REF!,#REF!,$AA40,#REF!,$AH$3)</f>
        <v>#REF!</v>
      </c>
      <c r="AE40" s="63" t="e">
        <f t="shared" si="1"/>
        <v>#REF!</v>
      </c>
    </row>
    <row r="41" spans="22:31">
      <c r="V41" t="s">
        <v>95</v>
      </c>
      <c r="W41" s="340">
        <v>8.5470085470085479E-3</v>
      </c>
      <c r="AA41" s="74" t="s">
        <v>82</v>
      </c>
      <c r="AC41" t="e">
        <f>SUMIFS(#REF!,#REF!,$AA41,#REF!,$AH$3)</f>
        <v>#REF!</v>
      </c>
      <c r="AD41" s="87" t="e">
        <f>SUMIFS(#REF!,#REF!,$AA41,#REF!,$AH$3)</f>
        <v>#REF!</v>
      </c>
      <c r="AE41" s="63" t="e">
        <f t="shared" si="1"/>
        <v>#REF!</v>
      </c>
    </row>
    <row r="42" spans="22:31" ht="15.75" thickBot="1">
      <c r="V42" t="s">
        <v>96</v>
      </c>
      <c r="W42" s="341">
        <v>0.41360294117647056</v>
      </c>
      <c r="AA42" s="74" t="s">
        <v>83</v>
      </c>
      <c r="AC42" t="e">
        <f>SUMIFS(#REF!,#REF!,$AA42,#REF!,$AH$3)</f>
        <v>#REF!</v>
      </c>
      <c r="AD42" s="87" t="e">
        <f>SUMIFS(#REF!,#REF!,$AA42,#REF!,$AH$3)</f>
        <v>#REF!</v>
      </c>
      <c r="AE42" s="63" t="e">
        <f t="shared" si="1"/>
        <v>#REF!</v>
      </c>
    </row>
    <row r="43" spans="22:31" ht="15.75" thickBot="1">
      <c r="V43" t="s">
        <v>97</v>
      </c>
      <c r="W43" s="306">
        <v>0.18220115850447605</v>
      </c>
      <c r="AA43" s="76" t="s">
        <v>63</v>
      </c>
      <c r="AC43" t="e">
        <f>SUMIFS(#REF!,#REF!,$AA43,#REF!,$AH$3)</f>
        <v>#REF!</v>
      </c>
      <c r="AD43" s="87" t="e">
        <f>SUMIFS(#REF!,#REF!,$AA43,#REF!,$AH$3)</f>
        <v>#REF!</v>
      </c>
      <c r="AE43" s="63" t="e">
        <f t="shared" si="1"/>
        <v>#REF!</v>
      </c>
    </row>
    <row r="44" spans="22:31" ht="15.75" thickBot="1">
      <c r="V44" t="s">
        <v>98</v>
      </c>
      <c r="W44" s="343">
        <v>9.4043887147335428E-3</v>
      </c>
      <c r="AA44" s="385" t="s">
        <v>84</v>
      </c>
      <c r="AB44" s="386"/>
      <c r="AC44" s="386" t="e">
        <f>SUM(AC37:AC43)</f>
        <v>#REF!</v>
      </c>
      <c r="AD44" s="386" t="e">
        <f>SUM(AD37:AD43)</f>
        <v>#REF!</v>
      </c>
      <c r="AE44" s="63" t="e">
        <f t="shared" si="1"/>
        <v>#REF!</v>
      </c>
    </row>
    <row r="45" spans="22:31">
      <c r="V45" t="s">
        <v>99</v>
      </c>
      <c r="W45" s="340">
        <v>0</v>
      </c>
      <c r="AA45" s="78" t="s">
        <v>85</v>
      </c>
      <c r="AC45" t="e">
        <f>SUMIFS(#REF!,#REF!,$AA45,#REF!,$AH$3)</f>
        <v>#REF!</v>
      </c>
      <c r="AD45" s="87" t="e">
        <f>SUMIFS(#REF!,#REF!,$AA45,#REF!,$AH$3)</f>
        <v>#REF!</v>
      </c>
      <c r="AE45" s="63" t="e">
        <f t="shared" si="1"/>
        <v>#REF!</v>
      </c>
    </row>
    <row r="46" spans="22:31">
      <c r="V46" t="s">
        <v>100</v>
      </c>
      <c r="W46" s="340">
        <v>8.2352941176470587E-2</v>
      </c>
      <c r="AA46" s="74" t="s">
        <v>86</v>
      </c>
      <c r="AC46" t="e">
        <f>SUMIFS(#REF!,#REF!,$AA46,#REF!,$AH$3)</f>
        <v>#REF!</v>
      </c>
      <c r="AD46" s="87" t="e">
        <f>SUMIFS(#REF!,#REF!,$AA46,#REF!,$AH$3)</f>
        <v>#REF!</v>
      </c>
      <c r="AE46" s="63" t="e">
        <f t="shared" si="1"/>
        <v>#REF!</v>
      </c>
    </row>
    <row r="47" spans="22:31">
      <c r="V47" t="s">
        <v>101</v>
      </c>
      <c r="W47" s="340">
        <v>0.15</v>
      </c>
      <c r="AA47" s="74" t="s">
        <v>87</v>
      </c>
      <c r="AC47" t="e">
        <f>SUMIFS(#REF!,#REF!,$AA47,#REF!,$AH$3)</f>
        <v>#REF!</v>
      </c>
      <c r="AD47" s="87" t="e">
        <f>SUMIFS(#REF!,#REF!,$AA47,#REF!,$AH$3)</f>
        <v>#REF!</v>
      </c>
      <c r="AE47" s="63" t="e">
        <f t="shared" si="1"/>
        <v>#REF!</v>
      </c>
    </row>
    <row r="48" spans="22:31" ht="15.75" thickBot="1">
      <c r="V48" t="s">
        <v>102</v>
      </c>
      <c r="W48" s="341">
        <v>1.5827338129496403E-2</v>
      </c>
      <c r="AA48" s="74" t="s">
        <v>88</v>
      </c>
      <c r="AC48" t="e">
        <f>SUMIFS(#REF!,#REF!,$AA48,#REF!,$AH$3)</f>
        <v>#REF!</v>
      </c>
      <c r="AD48" s="87" t="e">
        <f>SUMIFS(#REF!,#REF!,$AA48,#REF!,$AH$3)</f>
        <v>#REF!</v>
      </c>
      <c r="AE48" s="63" t="e">
        <f t="shared" si="1"/>
        <v>#REF!</v>
      </c>
    </row>
    <row r="49" spans="22:31" ht="15.75" thickBot="1">
      <c r="V49" t="s">
        <v>103</v>
      </c>
      <c r="W49" s="307">
        <v>4.0264754550468837E-2</v>
      </c>
      <c r="AA49" s="74" t="s">
        <v>89</v>
      </c>
      <c r="AC49" t="e">
        <f>SUMIFS(#REF!,#REF!,$AA49,#REF!,$AH$3)</f>
        <v>#REF!</v>
      </c>
      <c r="AD49" s="87" t="e">
        <f>SUMIFS(#REF!,#REF!,$AA49,#REF!,$AH$3)</f>
        <v>#REF!</v>
      </c>
      <c r="AE49" s="63" t="e">
        <f t="shared" si="1"/>
        <v>#REF!</v>
      </c>
    </row>
    <row r="50" spans="22:31" ht="19.5" thickBot="1">
      <c r="V50" t="s">
        <v>37</v>
      </c>
      <c r="W50" s="308">
        <v>0.11018219557195572</v>
      </c>
      <c r="AA50" s="76" t="s">
        <v>90</v>
      </c>
      <c r="AC50" t="e">
        <f>SUMIFS(#REF!,#REF!,$AA50,#REF!,$AH$3)</f>
        <v>#REF!</v>
      </c>
      <c r="AD50" s="87" t="e">
        <f>SUMIFS(#REF!,#REF!,$AA50,#REF!,$AH$3)</f>
        <v>#REF!</v>
      </c>
      <c r="AE50" s="63" t="e">
        <f t="shared" si="1"/>
        <v>#REF!</v>
      </c>
    </row>
    <row r="51" spans="22:31" ht="15.75" thickBot="1">
      <c r="AA51" s="385" t="s">
        <v>91</v>
      </c>
      <c r="AB51" s="386"/>
      <c r="AC51" s="386" t="e">
        <f>SUM(AC45:AC50)</f>
        <v>#REF!</v>
      </c>
      <c r="AD51" s="386" t="e">
        <f>SUM(AD45:AD50)</f>
        <v>#REF!</v>
      </c>
      <c r="AE51" s="63" t="e">
        <f t="shared" si="1"/>
        <v>#REF!</v>
      </c>
    </row>
    <row r="52" spans="22:31">
      <c r="AA52" s="78" t="s">
        <v>92</v>
      </c>
      <c r="AC52" t="e">
        <f>SUMIFS(#REF!,#REF!,$AA52,#REF!,$AH$3)</f>
        <v>#REF!</v>
      </c>
      <c r="AD52" s="87" t="e">
        <f>SUMIFS(#REF!,#REF!,$AA52,#REF!,$AH$3)</f>
        <v>#REF!</v>
      </c>
      <c r="AE52" s="63" t="e">
        <f t="shared" si="1"/>
        <v>#REF!</v>
      </c>
    </row>
    <row r="53" spans="22:31">
      <c r="AA53" s="74" t="s">
        <v>93</v>
      </c>
      <c r="AC53" t="e">
        <f>SUMIFS(#REF!,#REF!,$AA53,#REF!,$AH$3)</f>
        <v>#REF!</v>
      </c>
      <c r="AD53" s="87" t="e">
        <f>SUMIFS(#REF!,#REF!,$AA53,#REF!,$AH$3)</f>
        <v>#REF!</v>
      </c>
      <c r="AE53" s="63" t="e">
        <f t="shared" si="1"/>
        <v>#REF!</v>
      </c>
    </row>
    <row r="54" spans="22:31">
      <c r="AA54" s="74" t="s">
        <v>94</v>
      </c>
      <c r="AC54" t="e">
        <f>SUMIFS(#REF!,#REF!,$AA54,#REF!,$AH$3)</f>
        <v>#REF!</v>
      </c>
      <c r="AD54" s="87" t="e">
        <f>SUMIFS(#REF!,#REF!,$AA54,#REF!,$AH$3)</f>
        <v>#REF!</v>
      </c>
      <c r="AE54" s="63" t="e">
        <f t="shared" si="1"/>
        <v>#REF!</v>
      </c>
    </row>
    <row r="55" spans="22:31">
      <c r="AA55" s="74" t="s">
        <v>95</v>
      </c>
      <c r="AC55" t="e">
        <f>SUMIFS(#REF!,#REF!,$AA55,#REF!,$AH$3)</f>
        <v>#REF!</v>
      </c>
      <c r="AD55" s="87" t="e">
        <f>SUMIFS(#REF!,#REF!,$AA55,#REF!,$AH$3)</f>
        <v>#REF!</v>
      </c>
      <c r="AE55" s="63" t="e">
        <f t="shared" si="1"/>
        <v>#REF!</v>
      </c>
    </row>
    <row r="56" spans="22:31" ht="15.75" thickBot="1">
      <c r="AA56" s="76" t="s">
        <v>96</v>
      </c>
      <c r="AC56" t="e">
        <f>SUMIFS(#REF!,#REF!,$AA56,#REF!,$AH$3)</f>
        <v>#REF!</v>
      </c>
      <c r="AD56" s="87" t="e">
        <f>SUMIFS(#REF!,#REF!,$AA56,#REF!,$AH$3)</f>
        <v>#REF!</v>
      </c>
      <c r="AE56" s="63" t="e">
        <f t="shared" si="1"/>
        <v>#REF!</v>
      </c>
    </row>
    <row r="57" spans="22:31" ht="15.75" thickBot="1">
      <c r="AA57" s="385" t="s">
        <v>97</v>
      </c>
      <c r="AB57" s="386"/>
      <c r="AC57" s="386" t="e">
        <f>SUM(AC52:AC56)</f>
        <v>#REF!</v>
      </c>
      <c r="AD57" s="386" t="e">
        <f>SUM(AD52:AD56)</f>
        <v>#REF!</v>
      </c>
      <c r="AE57" s="63" t="e">
        <f t="shared" si="1"/>
        <v>#REF!</v>
      </c>
    </row>
    <row r="58" spans="22:31">
      <c r="AA58" s="79" t="s">
        <v>98</v>
      </c>
      <c r="AC58" t="e">
        <f>SUMIFS(#REF!,#REF!,$AA58,#REF!,$AH$3)</f>
        <v>#REF!</v>
      </c>
      <c r="AD58" s="87" t="e">
        <f>SUMIFS(#REF!,#REF!,$AA58,#REF!,$AH$3)</f>
        <v>#REF!</v>
      </c>
      <c r="AE58" s="63" t="e">
        <f t="shared" si="1"/>
        <v>#REF!</v>
      </c>
    </row>
    <row r="59" spans="22:31">
      <c r="AA59" s="74" t="s">
        <v>99</v>
      </c>
      <c r="AC59" t="e">
        <f>SUMIFS(#REF!,#REF!,$AA59,#REF!,$AH$3)</f>
        <v>#REF!</v>
      </c>
      <c r="AD59" s="87" t="e">
        <f>SUMIFS(#REF!,#REF!,$AA59,#REF!,$AH$3)</f>
        <v>#REF!</v>
      </c>
      <c r="AE59" s="63" t="e">
        <f t="shared" si="1"/>
        <v>#REF!</v>
      </c>
    </row>
    <row r="60" spans="22:31">
      <c r="AA60" s="74" t="s">
        <v>100</v>
      </c>
      <c r="AC60" t="e">
        <f>SUMIFS(#REF!,#REF!,$AA60,#REF!,$AH$3)</f>
        <v>#REF!</v>
      </c>
      <c r="AD60" s="87" t="e">
        <f>SUMIFS(#REF!,#REF!,$AA60,#REF!,$AH$3)</f>
        <v>#REF!</v>
      </c>
      <c r="AE60" s="63" t="e">
        <f t="shared" si="1"/>
        <v>#REF!</v>
      </c>
    </row>
    <row r="61" spans="22:31">
      <c r="AA61" s="74" t="s">
        <v>101</v>
      </c>
      <c r="AC61" t="e">
        <f>SUMIFS(#REF!,#REF!,$AA61,#REF!,$AH$3)</f>
        <v>#REF!</v>
      </c>
      <c r="AD61" s="87" t="e">
        <f>SUMIFS(#REF!,#REF!,$AA61,#REF!,$AH$3)</f>
        <v>#REF!</v>
      </c>
      <c r="AE61" s="63" t="e">
        <f t="shared" si="1"/>
        <v>#REF!</v>
      </c>
    </row>
    <row r="62" spans="22:31" ht="15.75" thickBot="1">
      <c r="AA62" s="76" t="s">
        <v>102</v>
      </c>
      <c r="AC62" t="e">
        <f>SUMIFS(#REF!,#REF!,$AA62,#REF!,$AH$3)</f>
        <v>#REF!</v>
      </c>
      <c r="AD62" s="87" t="e">
        <f>SUMIFS(#REF!,#REF!,$AA62,#REF!,$AH$3)</f>
        <v>#REF!</v>
      </c>
      <c r="AE62" s="63" t="e">
        <f t="shared" si="1"/>
        <v>#REF!</v>
      </c>
    </row>
    <row r="63" spans="22:31" ht="15.75" thickBot="1">
      <c r="AA63" s="385" t="s">
        <v>103</v>
      </c>
      <c r="AB63" s="386"/>
      <c r="AC63" s="386" t="e">
        <f>SUM(AC58:AC62)</f>
        <v>#REF!</v>
      </c>
      <c r="AD63" s="386" t="e">
        <f>SUM(AD58:AD62)</f>
        <v>#REF!</v>
      </c>
      <c r="AE63" s="63" t="e">
        <f t="shared" si="1"/>
        <v>#REF!</v>
      </c>
    </row>
    <row r="64" spans="22:31" ht="19.5" thickBot="1">
      <c r="AA64" s="147" t="s">
        <v>37</v>
      </c>
      <c r="AC64" t="e">
        <f>SUM(AC26,AC32,AC36,AC44,AC51,AC57,AC63)</f>
        <v>#REF!</v>
      </c>
      <c r="AD64" t="e">
        <f>SUM(AD26,AD32,AD36,AD44,AD51,AD57,AD63)</f>
        <v>#REF!</v>
      </c>
      <c r="AE64" s="63" t="e">
        <f t="shared" si="1"/>
        <v>#REF!</v>
      </c>
    </row>
  </sheetData>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1"/>
  <dimension ref="C2:BC67"/>
  <sheetViews>
    <sheetView showGridLines="0" topLeftCell="B1" zoomScale="60" zoomScaleNormal="60" workbookViewId="0">
      <pane xSplit="5" ySplit="9" topLeftCell="G10" activePane="bottomRight" state="frozen"/>
      <selection pane="bottomRight" activeCell="P4" sqref="P4"/>
      <selection pane="bottomLeft" activeCell="B10" sqref="B10"/>
      <selection pane="topRight" activeCell="G1" sqref="G1"/>
    </sheetView>
  </sheetViews>
  <sheetFormatPr defaultRowHeight="15"/>
  <cols>
    <col min="1" max="1" width="0" hidden="1" customWidth="1"/>
    <col min="2" max="2" width="1.42578125" customWidth="1"/>
    <col min="3" max="3" width="59.140625" customWidth="1"/>
    <col min="4" max="4" width="16.5703125" customWidth="1"/>
    <col min="7" max="7" width="12.140625" customWidth="1"/>
    <col min="11" max="11" width="11.85546875" customWidth="1"/>
    <col min="15" max="15" width="10.140625" customWidth="1"/>
    <col min="16" max="16" width="10.5703125" customWidth="1"/>
    <col min="19" max="19" width="11" customWidth="1"/>
    <col min="22" max="22" width="10.140625" customWidth="1"/>
    <col min="25" max="25" width="10.85546875" customWidth="1"/>
    <col min="28" max="28" width="11.7109375" customWidth="1"/>
    <col min="30" max="30" width="13.85546875" customWidth="1"/>
    <col min="33" max="33" width="11.5703125" customWidth="1"/>
    <col min="36" max="36" width="11.42578125" customWidth="1"/>
    <col min="37" max="37" width="12.140625" customWidth="1"/>
    <col min="40" max="40" width="11.28515625" customWidth="1"/>
    <col min="44" max="44" width="11.85546875" customWidth="1"/>
    <col min="45" max="45" width="22" customWidth="1"/>
    <col min="46" max="46" width="18.140625" customWidth="1"/>
    <col min="47" max="47" width="10.7109375" customWidth="1"/>
    <col min="48" max="48" width="15.5703125" customWidth="1"/>
    <col min="51" max="51" width="11.85546875" customWidth="1"/>
    <col min="54" max="54" width="12.5703125" customWidth="1"/>
    <col min="55" max="55" width="23.28515625" style="63" bestFit="1" customWidth="1"/>
  </cols>
  <sheetData>
    <row r="2" spans="3:54" ht="14.45" customHeight="1">
      <c r="C2" s="5"/>
      <c r="D2" s="5"/>
      <c r="E2" s="5"/>
      <c r="F2" s="5"/>
      <c r="G2" s="5"/>
      <c r="H2" s="5"/>
      <c r="I2" s="5"/>
      <c r="J2" s="5"/>
      <c r="K2" s="285" t="s">
        <v>104</v>
      </c>
      <c r="M2" s="5"/>
      <c r="N2" s="5"/>
      <c r="O2" s="5"/>
      <c r="P2" s="5"/>
      <c r="Q2" s="5"/>
      <c r="R2" s="5"/>
      <c r="S2" s="5"/>
      <c r="T2" s="5"/>
      <c r="U2" s="5"/>
      <c r="V2" s="5"/>
      <c r="W2" s="5"/>
      <c r="X2" s="5"/>
      <c r="Y2" s="5"/>
      <c r="Z2" s="5"/>
      <c r="AA2" s="5"/>
      <c r="AB2" s="5"/>
      <c r="AC2" s="5"/>
      <c r="AD2" s="5"/>
      <c r="AE2" s="5"/>
      <c r="AF2" s="5"/>
      <c r="AG2" s="5"/>
      <c r="AH2" s="4"/>
    </row>
    <row r="3" spans="3:54" ht="23.45" customHeight="1">
      <c r="C3" s="5"/>
      <c r="D3" s="5"/>
      <c r="E3" s="5"/>
      <c r="F3" s="5"/>
      <c r="G3" s="5"/>
      <c r="H3" s="5"/>
      <c r="I3" s="5"/>
      <c r="J3" s="5"/>
      <c r="K3" s="5"/>
      <c r="L3" s="5"/>
      <c r="M3" s="5"/>
      <c r="N3" s="5"/>
      <c r="O3" s="5"/>
      <c r="P3" s="5"/>
      <c r="Q3" s="5"/>
      <c r="R3" s="5"/>
      <c r="S3" s="5"/>
      <c r="T3" s="5"/>
      <c r="U3" s="5"/>
      <c r="V3" s="5"/>
      <c r="W3" s="5"/>
      <c r="X3" s="5"/>
      <c r="Y3" s="5"/>
      <c r="Z3" s="5"/>
      <c r="AA3" s="5"/>
      <c r="AB3" s="5"/>
      <c r="AC3" s="5"/>
      <c r="AD3" s="5"/>
      <c r="AE3" s="5"/>
      <c r="AF3" s="5"/>
      <c r="AG3" s="5"/>
      <c r="AH3" s="4"/>
      <c r="AW3" s="11"/>
      <c r="AZ3" s="204"/>
    </row>
    <row r="4" spans="3:54" ht="14.45" customHeight="1">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row>
    <row r="5" spans="3:54" ht="14.45" customHeight="1">
      <c r="C5" s="4"/>
      <c r="D5" s="126"/>
      <c r="E5" s="4"/>
      <c r="F5" s="4"/>
      <c r="G5" s="4"/>
      <c r="H5" s="4"/>
      <c r="I5" s="4"/>
      <c r="J5" s="4"/>
      <c r="K5" s="4"/>
      <c r="L5" s="4"/>
      <c r="M5" s="4"/>
      <c r="N5" s="4"/>
      <c r="O5" s="4"/>
      <c r="P5" s="4"/>
      <c r="Q5" s="4"/>
      <c r="R5" s="4"/>
      <c r="S5" s="4"/>
      <c r="T5" s="4"/>
      <c r="U5" s="4"/>
      <c r="V5" s="4"/>
      <c r="W5" s="4"/>
      <c r="X5" s="4"/>
      <c r="Y5" s="4"/>
      <c r="Z5" s="4"/>
      <c r="AA5" s="4"/>
      <c r="AB5" s="4"/>
      <c r="AC5" s="4"/>
      <c r="AD5" s="4"/>
      <c r="AE5" s="4"/>
      <c r="AF5" s="4"/>
      <c r="AG5" s="4"/>
      <c r="AH5" s="4"/>
    </row>
    <row r="6" spans="3:54" ht="14.45" customHeight="1">
      <c r="C6" s="4"/>
      <c r="D6" s="4"/>
      <c r="E6" s="4"/>
      <c r="F6" s="4"/>
      <c r="G6" s="468" t="s">
        <v>105</v>
      </c>
      <c r="H6" s="468"/>
      <c r="I6" s="468"/>
      <c r="J6" s="468"/>
      <c r="K6" s="468"/>
      <c r="L6" s="468"/>
      <c r="M6" s="468"/>
      <c r="N6" s="468"/>
      <c r="O6" s="468"/>
      <c r="P6" s="468"/>
      <c r="Q6" s="468"/>
      <c r="R6" s="468"/>
      <c r="S6" s="468"/>
      <c r="T6" s="468"/>
      <c r="U6" s="468"/>
      <c r="V6" s="468"/>
      <c r="W6" s="468"/>
      <c r="X6" s="468"/>
      <c r="Y6" s="468"/>
      <c r="Z6" s="468"/>
      <c r="AA6" s="468"/>
      <c r="AB6" s="468"/>
      <c r="AC6" s="468"/>
      <c r="AD6" s="468"/>
      <c r="AE6" s="468"/>
      <c r="AF6" s="468"/>
      <c r="AG6" s="468"/>
      <c r="AH6" s="468"/>
      <c r="AI6" s="468"/>
      <c r="AJ6" s="468"/>
      <c r="AK6" s="468"/>
      <c r="AL6" s="468"/>
      <c r="AM6" s="468"/>
      <c r="AN6" s="468"/>
      <c r="AO6" s="468"/>
      <c r="AP6" s="468"/>
      <c r="AQ6" s="468"/>
      <c r="AR6" s="468"/>
      <c r="AS6" s="468"/>
      <c r="AT6" s="468"/>
      <c r="AU6" s="468"/>
      <c r="AV6" s="468"/>
      <c r="AW6" s="468"/>
      <c r="AX6" s="468"/>
      <c r="AY6" s="468"/>
      <c r="AZ6" s="468"/>
      <c r="BA6" s="468"/>
      <c r="BB6" s="266"/>
    </row>
    <row r="7" spans="3:54" ht="16.5" thickBot="1">
      <c r="G7" s="482" t="s">
        <v>106</v>
      </c>
      <c r="H7" s="483"/>
      <c r="I7" s="483"/>
      <c r="J7" s="483"/>
      <c r="K7" s="483"/>
      <c r="L7" s="483"/>
      <c r="M7" s="483"/>
      <c r="N7" s="483"/>
      <c r="O7" s="228"/>
      <c r="P7" s="487" t="s">
        <v>107</v>
      </c>
      <c r="Q7" s="488"/>
      <c r="R7" s="488"/>
      <c r="S7" s="488"/>
      <c r="T7" s="488"/>
      <c r="U7" s="488"/>
      <c r="V7" s="488"/>
      <c r="W7" s="488"/>
      <c r="X7" s="488"/>
      <c r="Y7" s="245"/>
      <c r="Z7" s="492" t="s">
        <v>22</v>
      </c>
      <c r="AA7" s="493"/>
      <c r="AB7" s="494"/>
      <c r="AC7" s="494"/>
      <c r="AD7" s="494"/>
      <c r="AE7" s="494"/>
      <c r="AF7" s="494"/>
      <c r="AG7" s="494"/>
      <c r="AH7" s="494"/>
      <c r="AI7" s="494"/>
      <c r="AJ7" s="247"/>
      <c r="AK7" s="459" t="s">
        <v>108</v>
      </c>
      <c r="AL7" s="460"/>
      <c r="AM7" s="460"/>
      <c r="AN7" s="460"/>
      <c r="AO7" s="460"/>
      <c r="AP7" s="460"/>
      <c r="AQ7" s="460"/>
      <c r="AR7" s="214"/>
      <c r="AS7" s="265" t="s">
        <v>109</v>
      </c>
      <c r="AT7" s="112"/>
      <c r="AU7" s="112"/>
      <c r="AV7" s="362"/>
      <c r="AW7" s="465" t="s">
        <v>110</v>
      </c>
      <c r="AX7" s="465"/>
      <c r="AY7" s="465"/>
      <c r="AZ7" s="465"/>
      <c r="BA7" s="465"/>
      <c r="BB7" s="258"/>
    </row>
    <row r="8" spans="3:54" ht="10.5" customHeight="1" thickBot="1">
      <c r="G8" s="211"/>
      <c r="H8" s="212"/>
      <c r="I8" s="212"/>
      <c r="J8" s="212"/>
      <c r="K8" s="212"/>
      <c r="L8" s="212"/>
      <c r="M8" s="212"/>
      <c r="N8" s="212"/>
      <c r="O8" s="228"/>
      <c r="P8" s="226"/>
      <c r="Q8" s="490" t="s">
        <v>111</v>
      </c>
      <c r="R8" s="490"/>
      <c r="S8" s="490"/>
      <c r="T8" s="490"/>
      <c r="U8" s="490"/>
      <c r="V8" s="490"/>
      <c r="W8" s="490"/>
      <c r="X8" s="490"/>
      <c r="Y8" s="246"/>
      <c r="Z8" s="363"/>
      <c r="AA8" s="227"/>
      <c r="AB8" s="491" t="s">
        <v>112</v>
      </c>
      <c r="AC8" s="491"/>
      <c r="AD8" s="491"/>
      <c r="AE8" s="491"/>
      <c r="AF8" s="491"/>
      <c r="AG8" s="491"/>
      <c r="AH8" s="491"/>
      <c r="AI8" s="491"/>
      <c r="AJ8" s="359"/>
      <c r="AK8" s="213"/>
      <c r="AL8" s="213"/>
      <c r="AM8" s="213"/>
      <c r="AN8" s="213"/>
      <c r="AO8" s="213"/>
      <c r="AP8" s="213"/>
      <c r="AQ8" s="213"/>
      <c r="AR8" s="360"/>
      <c r="AS8" s="332"/>
      <c r="AT8" s="219"/>
      <c r="AU8" s="219"/>
      <c r="AV8" s="361"/>
      <c r="AW8" s="215"/>
      <c r="AX8" s="215"/>
      <c r="AY8" s="215"/>
      <c r="AZ8" s="215"/>
      <c r="BA8" s="215"/>
      <c r="BB8" s="215"/>
    </row>
    <row r="9" spans="3:54" ht="75.95" customHeight="1" thickBot="1">
      <c r="C9" s="13" t="s">
        <v>113</v>
      </c>
      <c r="D9" s="14" t="s">
        <v>114</v>
      </c>
      <c r="E9" s="469" t="s">
        <v>115</v>
      </c>
      <c r="F9" s="470"/>
      <c r="G9" s="129" t="s">
        <v>116</v>
      </c>
      <c r="H9" s="206" t="s">
        <v>117</v>
      </c>
      <c r="I9" s="480" t="s">
        <v>6</v>
      </c>
      <c r="J9" s="481"/>
      <c r="K9" s="284" t="s">
        <v>118</v>
      </c>
      <c r="L9" s="238" t="s">
        <v>119</v>
      </c>
      <c r="M9" s="480" t="s">
        <v>7</v>
      </c>
      <c r="N9" s="481"/>
      <c r="O9" s="286" t="s">
        <v>120</v>
      </c>
      <c r="P9" s="210" t="s">
        <v>107</v>
      </c>
      <c r="Q9" s="484" t="s">
        <v>121</v>
      </c>
      <c r="R9" s="485"/>
      <c r="S9" s="283" t="s">
        <v>122</v>
      </c>
      <c r="T9" s="486" t="s">
        <v>123</v>
      </c>
      <c r="U9" s="489"/>
      <c r="V9" s="282" t="s">
        <v>124</v>
      </c>
      <c r="W9" s="485" t="s">
        <v>125</v>
      </c>
      <c r="X9" s="486"/>
      <c r="Y9" s="282" t="s">
        <v>126</v>
      </c>
      <c r="Z9" s="471" t="s">
        <v>22</v>
      </c>
      <c r="AA9" s="472"/>
      <c r="AB9" s="473" t="s">
        <v>127</v>
      </c>
      <c r="AC9" s="474"/>
      <c r="AD9" s="281" t="s">
        <v>128</v>
      </c>
      <c r="AE9" s="475" t="s">
        <v>129</v>
      </c>
      <c r="AF9" s="473"/>
      <c r="AG9" s="280" t="s">
        <v>130</v>
      </c>
      <c r="AH9" s="475" t="s">
        <v>131</v>
      </c>
      <c r="AI9" s="476"/>
      <c r="AJ9" s="279" t="s">
        <v>132</v>
      </c>
      <c r="AK9" s="216" t="s">
        <v>108</v>
      </c>
      <c r="AL9" s="466" t="s">
        <v>133</v>
      </c>
      <c r="AM9" s="466"/>
      <c r="AN9" s="366" t="s">
        <v>134</v>
      </c>
      <c r="AO9" s="203" t="s">
        <v>31</v>
      </c>
      <c r="AP9" s="466" t="s">
        <v>17</v>
      </c>
      <c r="AQ9" s="467"/>
      <c r="AR9" s="305" t="s">
        <v>135</v>
      </c>
      <c r="AS9" s="331" t="s">
        <v>109</v>
      </c>
      <c r="AT9" s="463" t="s">
        <v>136</v>
      </c>
      <c r="AU9" s="464"/>
      <c r="AV9" s="278" t="s">
        <v>137</v>
      </c>
      <c r="AW9" s="477" t="s">
        <v>110</v>
      </c>
      <c r="AX9" s="478"/>
      <c r="AY9" s="205" t="s">
        <v>138</v>
      </c>
      <c r="AZ9" s="478" t="s">
        <v>139</v>
      </c>
      <c r="BA9" s="479"/>
      <c r="BB9" s="319" t="s">
        <v>140</v>
      </c>
    </row>
    <row r="10" spans="3:54">
      <c r="C10" s="71" t="s">
        <v>141</v>
      </c>
      <c r="D10" s="72" t="s">
        <v>52</v>
      </c>
      <c r="E10" s="450">
        <f>SUMIFS(Table2[All currently registered regular patients aged 18+],Table2[OrgID],D10,Table2[Rel_D],Details!$D$61)</f>
        <v>3093</v>
      </c>
      <c r="F10" s="456" t="e">
        <f>SUMIFS(#REF!,#REF!,C10,#REF!,Details!$D$61)</f>
        <v>#REF!</v>
      </c>
      <c r="G10" s="113">
        <f>SUMIFS(Table2[A. Patients on the diabetes register],Table2[OrgID],D10,Table2[Rel_D],Details!$D$61)</f>
        <v>220</v>
      </c>
      <c r="H10" s="114">
        <f>SUMIFS(Table2[Type 2 diabetics],Table2[OrgID],D10,Table2[Rel_D],Details!$D$61)</f>
        <v>205</v>
      </c>
      <c r="I10" s="114">
        <f>SUMIFS(Table2[1 Diabetes review recorded or proxy 12m],Table2[OrgID],$D10,Table2[Rel_D],$D$61)</f>
        <v>179</v>
      </c>
      <c r="J10" s="233">
        <f t="shared" ref="J10:J56" si="0">IFERROR(I10/H10, "-")</f>
        <v>0.87317073170731707</v>
      </c>
      <c r="K10" s="252">
        <v>0.77551020408163263</v>
      </c>
      <c r="L10" s="232">
        <f>SUMIFS(Table2[Eligible for triple target],Table2[OrgID],$D10,Table2[Rel_D],$D$61)</f>
        <v>45</v>
      </c>
      <c r="M10" s="114">
        <f>SUMIFS(Table2[3 Triple target achieved],Table2[OrgID],$D10,Table2[Rel_D],$D$61)</f>
        <v>10</v>
      </c>
      <c r="N10" s="233">
        <f>IFERROR(M10/L10, "-")</f>
        <v>0.22222222222222221</v>
      </c>
      <c r="O10" s="288">
        <v>0.12857142857142856</v>
      </c>
      <c r="P10" s="113">
        <f>SUMIFS(Table2[B. Patients on the COPD register],Table2[OrgID],$D10,Table2[Rel_D],$D$61)</f>
        <v>105</v>
      </c>
      <c r="Q10" s="231">
        <f>SUMIFS(Table2[4 COPD review coded or proxy (MRC) 12m],Table2[OrgID],$D10,Table2[Rel_D],$D$61)</f>
        <v>98</v>
      </c>
      <c r="R10" s="125">
        <f>IFERROR(Q10/P10,"-")</f>
        <v>0.93333333333333335</v>
      </c>
      <c r="S10" s="240">
        <v>0.74336283185840712</v>
      </c>
      <c r="T10" s="122">
        <f>SUMIFS(Table2[6 CAT Score &amp; MRC scale recorded],Table2[OrgID],$D10,Table2[Rel_D],$D$61)</f>
        <v>32</v>
      </c>
      <c r="U10" s="125">
        <f>IFERROR(T10/Q10, "-")</f>
        <v>0.32653061224489793</v>
      </c>
      <c r="V10" s="240">
        <v>3.5714285714285712E-2</v>
      </c>
      <c r="W10" s="122">
        <f>SUMIFS(Table2[7 COPD action plan recorded 12m],Table2[OrgID],$D10,Table2[Rel_D],$D$61)</f>
        <v>71</v>
      </c>
      <c r="X10" s="237">
        <f t="shared" ref="X10:X56" si="1">IFERROR(W10/Q10,"-")</f>
        <v>0.72448979591836737</v>
      </c>
      <c r="Y10" s="248">
        <v>0.5</v>
      </c>
      <c r="Z10" s="461">
        <f>SUMIFS(Table2[C. Patients on the asthma register],Table2[OrgID],$D10,Table2[Rel_D],$D$61)</f>
        <v>226</v>
      </c>
      <c r="AA10" s="462" t="e">
        <f>SUMIFS(#REF!,#REF!,$D10,#REF!,$D$61)</f>
        <v>#REF!</v>
      </c>
      <c r="AB10" s="12">
        <f>SUMIFS(Table2[8 Asthma review coded or proxy (inhaler technique) 12m],Table2[OrgID],$D10,Table2[Rel_D],$D$61)</f>
        <v>168</v>
      </c>
      <c r="AC10" s="97">
        <f>IFERROR(AB10/Z10, "-")</f>
        <v>0.74336283185840712</v>
      </c>
      <c r="AD10" s="259">
        <v>0.7710280373831776</v>
      </c>
      <c r="AE10" s="98">
        <f>SUMIFS(Table2[10 Asthma Action Plan recorded 12m],Table2[OrgID],$D10,Table2[Rel_D],$D$61)</f>
        <v>166</v>
      </c>
      <c r="AF10" s="97">
        <f>IFERROR(AE10/AB10,"-")</f>
        <v>0.98809523809523814</v>
      </c>
      <c r="AG10" s="259">
        <v>0.93333333333333335</v>
      </c>
      <c r="AH10" s="80">
        <f>SUMIFS(Table2[11 ACT recorded],Table2[OrgID],$D10,Table2[Rel_D],$D$61)</f>
        <v>164</v>
      </c>
      <c r="AI10" s="292">
        <f t="shared" ref="AI10:AI56" si="2">IFERROR(AH10/AB10, "-")</f>
        <v>0.97619047619047616</v>
      </c>
      <c r="AJ10" s="299">
        <v>0.62424242424242427</v>
      </c>
      <c r="AK10" s="104">
        <f>SUMIFS(Table2[D. Patients on the hypertension register],Table2[OrgID],$D10,Table2[Rel_D],$D$61)</f>
        <v>738</v>
      </c>
      <c r="AL10" s="81">
        <f>SUMIFS(Table2[15 On target],Table2[OrgID],$D10,Table2[Rel_D],$D$61)</f>
        <v>544</v>
      </c>
      <c r="AM10" s="82">
        <f>IFERROR(AL10/AK10, "-")</f>
        <v>0.73712737127371275</v>
      </c>
      <c r="AN10" s="333">
        <v>0.63754889178617991</v>
      </c>
      <c r="AO10" s="81">
        <f>SUMIFS(Table2[Off target],Table2[OrgID],$D10,Table2[Rel_D],$D$61)</f>
        <v>194</v>
      </c>
      <c r="AP10" s="81">
        <f>SUMIFS(Table2[12 Off target, with clinical review (2)],Table2[OrgID],$D10,Table2[Rel_D],$D$61)</f>
        <v>55</v>
      </c>
      <c r="AQ10" s="82">
        <f>IFERROR(AP10/AO10,"-")</f>
        <v>0.28350515463917525</v>
      </c>
      <c r="AR10" s="339">
        <v>0.11870503597122302</v>
      </c>
      <c r="AS10" s="321">
        <f>SUMIFS(Table2[E. Patients on the CHD or Stroke/TIA or PAD register],Table2[OrgID],$D10,Table2[Rel_D],$D$61)</f>
        <v>207</v>
      </c>
      <c r="AT10" s="99">
        <f>SUMIFS(Table2[13 Secondary prevention statins prescribed or offered in last 12m],Table2[OrgID],$D10,Table2[Rel_D],$D$61)</f>
        <v>70</v>
      </c>
      <c r="AU10" s="111">
        <f>IFERROR(AT10/AS10, "-")</f>
        <v>0.33816425120772947</v>
      </c>
      <c r="AV10" s="344">
        <v>0.34579439252336447</v>
      </c>
      <c r="AW10" s="461">
        <f>SUMIFS(Table2[F. Patients on anticoagulants or antiplatelets 6m],Table2[OrgID],Details!D10,Table2[Rel_D],Details!$D$61)</f>
        <v>268</v>
      </c>
      <c r="AX10" s="462" t="e">
        <f>SUMIFS(#REF!,#REF!,Details!#REF!,#REF!,Details!$D$61)</f>
        <v>#REF!</v>
      </c>
      <c r="AY10" s="15">
        <f>SUMIFS(Table2[Not on PPI 6m],Table2[OrgID],$D10,Table2[Rel_D],$D$61)</f>
        <v>163</v>
      </c>
      <c r="AZ10" s="68">
        <f>SUMIFS(Table2[14 Not on PPI, reviewed],Table2[OrgID],$D10,Table2[Rel_D],$D$61)</f>
        <v>6</v>
      </c>
      <c r="BA10" s="82">
        <f t="shared" ref="BA10:BA56" si="3">IFERROR(AZ10/AY10, "-")</f>
        <v>3.6809815950920248E-2</v>
      </c>
      <c r="BB10" s="355">
        <v>0.2129032258064516</v>
      </c>
    </row>
    <row r="11" spans="3:54">
      <c r="C11" s="73" t="s">
        <v>142</v>
      </c>
      <c r="D11" s="74" t="s">
        <v>54</v>
      </c>
      <c r="E11" s="450">
        <f>SUMIFS(Table2[All currently registered regular patients aged 18+],Table2[OrgID],D11,Table2[Rel_D],Details!$D$61)</f>
        <v>6563</v>
      </c>
      <c r="F11" s="456" t="e">
        <f>SUMIFS(#REF!,#REF!,C11,#REF!,Details!$D$61)</f>
        <v>#REF!</v>
      </c>
      <c r="G11" s="115">
        <f>SUMIFS(Table2[A. Patients on the diabetes register],Table2[OrgID],D11,Table2[Rel_D],Details!$D$61)</f>
        <v>424</v>
      </c>
      <c r="H11" s="116">
        <f>SUMIFS(Table2[Type 2 diabetics],Table2[OrgID],D11,Table2[Rel_D],Details!$D$61)</f>
        <v>387</v>
      </c>
      <c r="I11" s="116">
        <f>SUMIFS(Table2[1 Diabetes review recorded or proxy 12m],Table2[OrgID],$D11,Table2[Rel_D],$D$61)</f>
        <v>225</v>
      </c>
      <c r="J11" s="234">
        <f t="shared" si="0"/>
        <v>0.58139534883720934</v>
      </c>
      <c r="K11" s="241">
        <v>0.43351063829787234</v>
      </c>
      <c r="L11" s="229">
        <f>SUMIFS(Table2[Eligible for triple target],Table2[OrgID],$D11,Table2[Rel_D],$D$61)</f>
        <v>277</v>
      </c>
      <c r="M11" s="116">
        <f>SUMIFS(Table2[3 Triple target achieved],Table2[OrgID],$D11,Table2[Rel_D],$D$61)</f>
        <v>31</v>
      </c>
      <c r="N11" s="234">
        <f t="shared" ref="N11:N56" si="4">IFERROR(M11/L11, "-")</f>
        <v>0.11191335740072202</v>
      </c>
      <c r="O11" s="287">
        <v>9.3862815884476536E-2</v>
      </c>
      <c r="P11" s="115">
        <f>SUMIFS(Table2[B. Patients on the COPD register],Table2[OrgID],$D11,Table2[Rel_D],$D$61)</f>
        <v>96</v>
      </c>
      <c r="Q11" s="229">
        <f>SUMIFS(Table2[4 COPD review coded or proxy (MRC) 12m],Table2[OrgID],$D11,Table2[Rel_D],$D$61)</f>
        <v>82</v>
      </c>
      <c r="R11" s="123">
        <f t="shared" ref="R11:R56" si="5">IFERROR(Q11/P11,"-")</f>
        <v>0.85416666666666663</v>
      </c>
      <c r="S11" s="241">
        <v>0.80808080808080807</v>
      </c>
      <c r="T11" s="116">
        <f>SUMIFS(Table2[6 CAT Score &amp; MRC scale recorded],Table2[OrgID],$D11,Table2[Rel_D],$D$61)</f>
        <v>73</v>
      </c>
      <c r="U11" s="123">
        <f t="shared" ref="U11:U56" si="6">IFERROR(T11/Q11, "-")</f>
        <v>0.8902439024390244</v>
      </c>
      <c r="V11" s="241">
        <v>0.57499999999999996</v>
      </c>
      <c r="W11" s="116">
        <f>SUMIFS(Table2[7 COPD action plan recorded 12m],Table2[OrgID],$D11,Table2[Rel_D],$D$61)</f>
        <v>58</v>
      </c>
      <c r="X11" s="234">
        <f t="shared" si="1"/>
        <v>0.70731707317073167</v>
      </c>
      <c r="Y11" s="249">
        <v>0.63749999999999996</v>
      </c>
      <c r="Z11" s="433">
        <f>SUMIFS(Table2[C. Patients on the asthma register],Table2[OrgID],$D11,Table2[Rel_D],$D$61)</f>
        <v>332</v>
      </c>
      <c r="AA11" s="434" t="e">
        <f>SUMIFS(#REF!,#REF!,$D11,#REF!,$D$61)</f>
        <v>#REF!</v>
      </c>
      <c r="AB11" s="2">
        <f>SUMIFS(Table2[8 Asthma review coded or proxy (inhaler technique) 12m],Table2[OrgID],$D11,Table2[Rel_D],$D$61)</f>
        <v>224</v>
      </c>
      <c r="AC11" s="93">
        <f t="shared" ref="AC11:AC56" si="7">IFERROR(AB11/Z11, "-")</f>
        <v>0.67469879518072284</v>
      </c>
      <c r="AD11" s="260">
        <v>0.82352941176470584</v>
      </c>
      <c r="AE11" s="94">
        <f>SUMIFS(Table2[10 Asthma Action Plan recorded 12m],Table2[OrgID],$D11,Table2[Rel_D],$D$61)</f>
        <v>214</v>
      </c>
      <c r="AF11" s="93">
        <f t="shared" ref="AF11:AF56" si="8">IFERROR(AE11/AB11,"-")</f>
        <v>0.9553571428571429</v>
      </c>
      <c r="AG11" s="260">
        <v>0.96992481203007519</v>
      </c>
      <c r="AH11" s="69">
        <f>SUMIFS(Table2[11 ACT recorded],Table2[OrgID],$D11,Table2[Rel_D],$D$61)</f>
        <v>212</v>
      </c>
      <c r="AI11" s="293">
        <f t="shared" si="2"/>
        <v>0.9464285714285714</v>
      </c>
      <c r="AJ11" s="300">
        <v>0.94360902255639101</v>
      </c>
      <c r="AK11" s="105">
        <f>SUMIFS(Table2[D. Patients on the hypertension register],Table2[OrgID],$D11,Table2[Rel_D],$D$61)</f>
        <v>876</v>
      </c>
      <c r="AL11" s="83">
        <f>SUMIFS(Table2[15 On target],Table2[OrgID],$D11,Table2[Rel_D],$D$61)</f>
        <v>469</v>
      </c>
      <c r="AM11" s="84">
        <f t="shared" ref="AM11:AM56" si="9">IFERROR(AL11/AK11, "-")</f>
        <v>0.53538812785388123</v>
      </c>
      <c r="AN11" s="334">
        <v>0.44533029612756264</v>
      </c>
      <c r="AO11" s="83">
        <f>SUMIFS(Table2[Off target],Table2[OrgID],$D11,Table2[Rel_D],$D$61)</f>
        <v>407</v>
      </c>
      <c r="AP11" s="83">
        <f>SUMIFS(Table2[12 Off target, with clinical review (2)],Table2[OrgID],$D11,Table2[Rel_D],$D$61)</f>
        <v>23</v>
      </c>
      <c r="AQ11" s="84">
        <f t="shared" ref="AQ11:AQ56" si="10">IFERROR(AP11/AO11,"-")</f>
        <v>5.6511056511056514E-2</v>
      </c>
      <c r="AR11" s="340">
        <v>3.4907597535934289E-2</v>
      </c>
      <c r="AS11" s="322">
        <f>SUMIFS(Table2[E. Patients on the CHD or Stroke/TIA or PAD register],Table2[OrgID],$D11,Table2[Rel_D],$D$61)</f>
        <v>269</v>
      </c>
      <c r="AT11" s="100">
        <f>SUMIFS(Table2[13 Secondary prevention statins prescribed or offered in last 12m],Table2[OrgID],$D11,Table2[Rel_D],$D$61)</f>
        <v>95</v>
      </c>
      <c r="AU11" s="84">
        <f t="shared" ref="AU11:AU56" si="11">IFERROR(AT11/AS11, "-")</f>
        <v>0.35315985130111527</v>
      </c>
      <c r="AV11" s="345">
        <v>0.32706766917293234</v>
      </c>
      <c r="AW11" s="433">
        <f>SUMIFS(Table2[F. Patients on anticoagulants or antiplatelets 6m],Table2[OrgID],Details!D11,Table2[Rel_D],Details!$D$61)</f>
        <v>398</v>
      </c>
      <c r="AX11" s="434" t="e">
        <f>SUMIFS(#REF!,#REF!,Details!#REF!,#REF!,Details!$D$61)</f>
        <v>#REF!</v>
      </c>
      <c r="AY11" s="2">
        <f>SUMIFS(Table2[Not on PPI 6m],Table2[OrgID],$D11,Table2[Rel_D],$D$61)</f>
        <v>203</v>
      </c>
      <c r="AZ11" s="69">
        <f>SUMIFS(Table2[14 Not on PPI, reviewed],Table2[OrgID],$D11,Table2[Rel_D],$D$61)</f>
        <v>9</v>
      </c>
      <c r="BA11" s="84">
        <f t="shared" si="3"/>
        <v>4.4334975369458129E-2</v>
      </c>
      <c r="BB11" s="356">
        <v>0.16666666666666666</v>
      </c>
    </row>
    <row r="12" spans="3:54">
      <c r="C12" s="73" t="s">
        <v>34</v>
      </c>
      <c r="D12" s="74" t="s">
        <v>57</v>
      </c>
      <c r="E12" s="450">
        <f>IF(COUNTIFS(Table2[OrgID],D12,Table2[Rel_D],Details!$D$61) =0,"-",SUMIFS(Table2[All currently registered regular patients aged 18+],Table2[OrgID],D12,Table2[Rel_D],Details!$D$61))</f>
        <v>4056</v>
      </c>
      <c r="F12" s="456" t="e">
        <f>SUMIFS(#REF!,#REF!,C12,#REF!,Details!$D$61)</f>
        <v>#REF!</v>
      </c>
      <c r="G12" s="115">
        <f>IF(COUNTIFS(Table2[OrgID],D12,Table2[Rel_D],Details!$D$61) =0,"-",SUMIFS(Table2[A. Patients on the diabetes register],Table2[OrgID],D12,Table2[Rel_D],Details!$D$61))</f>
        <v>377</v>
      </c>
      <c r="H12" s="116">
        <f>IF(COUNTIFS(Table2[OrgID],D12,Table2[Rel_D],Details!$D$61) =0,"-",SUMIFS(Table2[Type 2 diabetics],Table2[OrgID],D12,Table2[Rel_D],Details!$D$61))</f>
        <v>364</v>
      </c>
      <c r="I12" s="116">
        <f>IF(COUNTIFS(Table2[OrgID],D12,Table2[Rel_D],Details!$D$61) =0,"-",SUMIFS(Table2[1 Diabetes review recorded or proxy 12m],Table2[OrgID],$D12,Table2[Rel_D],$D$61))</f>
        <v>240</v>
      </c>
      <c r="J12" s="234">
        <f t="shared" si="0"/>
        <v>0.65934065934065933</v>
      </c>
      <c r="K12" s="241">
        <v>0.59944751381215466</v>
      </c>
      <c r="L12" s="229">
        <f>IF(COUNTIFS(Table2[OrgID],D12,Table2[Rel_D],Details!$D$61) =0,"-",SUMIFS(Table2[Eligible for triple target],Table2[OrgID],$D12,Table2[Rel_D],$D$61))</f>
        <v>271</v>
      </c>
      <c r="M12" s="116">
        <f>IF(COUNTIFS(Table2[OrgID],D12,Table2[Rel_D],Details!$D$61) =0,"-",SUMIFS(Table2[3 Triple target achieved],Table2[OrgID],$D12,Table2[Rel_D],$D$61))</f>
        <v>41</v>
      </c>
      <c r="N12" s="234">
        <f t="shared" si="4"/>
        <v>0.15129151291512916</v>
      </c>
      <c r="O12" s="287">
        <v>0</v>
      </c>
      <c r="P12" s="115">
        <f>IF(COUNTIFS(Table2[OrgID],D12,Table2[Rel_D],Details!$D$61) =0,"-",SUMIFS(Table2[B. Patients on the COPD register],Table2[OrgID],$D12,Table2[Rel_D],$D$61))</f>
        <v>71</v>
      </c>
      <c r="Q12" s="229">
        <f>IF(COUNTIFS(Table2[OrgID],D12,Table2[Rel_D],Details!$D$61) =0,"-",SUMIFS(Table2[4 COPD review coded or proxy (MRC) 12m],Table2[OrgID],$D12,Table2[Rel_D],$D$61))</f>
        <v>66</v>
      </c>
      <c r="R12" s="123">
        <f t="shared" si="5"/>
        <v>0.92957746478873238</v>
      </c>
      <c r="S12" s="241">
        <v>3.125E-2</v>
      </c>
      <c r="T12" s="116">
        <f>IF(COUNTIFS(Table2[OrgID],D12,Table2[Rel_D],Details!$D$61) =0,"-",SUMIFS(Table2[6 CAT Score &amp; MRC scale recorded],Table2[OrgID],$D12,Table2[Rel_D],$D$61))</f>
        <v>0</v>
      </c>
      <c r="U12" s="123">
        <f t="shared" si="6"/>
        <v>0</v>
      </c>
      <c r="V12" s="241">
        <v>3.4482758620689655E-2</v>
      </c>
      <c r="W12" s="116">
        <f>IF(COUNTIFS(Table2[OrgID],D12,Table2[Rel_D],Details!$D$61) =0,"-",SUMIFS(Table2[7 COPD action plan recorded 12m],Table2[OrgID],$D12,Table2[Rel_D],$D$61))</f>
        <v>5</v>
      </c>
      <c r="X12" s="234">
        <f t="shared" si="1"/>
        <v>7.575757575757576E-2</v>
      </c>
      <c r="Y12" s="249">
        <v>0.15517241379310345</v>
      </c>
      <c r="Z12" s="433">
        <f>IF(COUNTIFS(Table2[OrgID],D12,Table2[Rel_D],Details!$D$61) =0,"-",SUMIFS(Table2[C. Patients on the asthma register],Table2[OrgID],$D12,Table2[Rel_D],$D$61))</f>
        <v>213</v>
      </c>
      <c r="AA12" s="434" t="e">
        <f>SUMIFS(#REF!,#REF!,$D12,#REF!,$D$61)</f>
        <v>#REF!</v>
      </c>
      <c r="AB12" s="2">
        <f>IF(COUNTIFS(Table2[OrgID],D12,Table2[Rel_D],Details!$D$61) =0,"-",SUMIFS(Table2[8 Asthma review coded or proxy (inhaler technique) 12m],Table2[OrgID],$D12,Table2[Rel_D],$D$61))</f>
        <v>137</v>
      </c>
      <c r="AC12" s="93">
        <f t="shared" si="7"/>
        <v>0.64319248826291076</v>
      </c>
      <c r="AD12" s="260">
        <v>0.70892018779342725</v>
      </c>
      <c r="AE12" s="94">
        <f>IF(COUNTIFS(Table2[OrgID],D12,Table2[Rel_D],Details!$D$61) =0,"-",SUMIFS(Table2[10 Asthma Action Plan recorded 12m],Table2[OrgID],$D12,Table2[Rel_D],$D$61))</f>
        <v>135</v>
      </c>
      <c r="AF12" s="93">
        <f t="shared" si="8"/>
        <v>0.98540145985401462</v>
      </c>
      <c r="AG12" s="260">
        <v>0.9668874172185431</v>
      </c>
      <c r="AH12" s="69">
        <f>IF(COUNTIFS(Table2[OrgID],D12,Table2[Rel_D],Details!$D$61) =0,"-",SUMIFS(Table2[11 ACT recorded],Table2[OrgID],$D12,Table2[Rel_D],$D$61))</f>
        <v>136</v>
      </c>
      <c r="AI12" s="293">
        <f t="shared" si="2"/>
        <v>0.99270072992700731</v>
      </c>
      <c r="AJ12" s="300">
        <v>0.9072847682119205</v>
      </c>
      <c r="AK12" s="105">
        <f>IF(COUNTIFS(Table2[OrgID],D12,Table2[Rel_D],Details!$D$61) =0,"-",SUMIFS(Table2[D. Patients on the hypertension register],Table2[OrgID],$D12,Table2[Rel_D],$D$61))</f>
        <v>779</v>
      </c>
      <c r="AL12" s="83">
        <f>IF(COUNTIFS(Table2[OrgID],D12,Table2[Rel_D],Details!$D$61) =0,"-",SUMIFS(Table2[15 On target],Table2[OrgID],$D12,Table2[Rel_D],$D$61))</f>
        <v>290</v>
      </c>
      <c r="AM12" s="84">
        <f t="shared" si="9"/>
        <v>0.37227214377406931</v>
      </c>
      <c r="AN12" s="334">
        <v>0.21910828025477708</v>
      </c>
      <c r="AO12" s="83">
        <f>IF(COUNTIFS(Table2[OrgID],D12,Table2[Rel_D],Details!$D$61) =0,"-",SUMIFS(Table2[Off target],Table2[OrgID],$D12,Table2[Rel_D],$D$61))</f>
        <v>489</v>
      </c>
      <c r="AP12" s="83">
        <f>IFERROR(IF(COUNTIFS(Table2[OrgID],D12,Table2[Rel_D],Details!$D$61) =0,"-",SUMIFS(Table2[12 Off target, with clinical review (2)],Table2[OrgID],$D12,Table2[Rel_D],$D$61)),"-")</f>
        <v>340</v>
      </c>
      <c r="AQ12" s="84">
        <f t="shared" si="10"/>
        <v>0.69529652351738236</v>
      </c>
      <c r="AR12" s="340">
        <v>0.74714518760195758</v>
      </c>
      <c r="AS12" s="322">
        <f>IF(COUNTIFS(Table2[OrgID],D12,Table2[Rel_D],Details!$D$61) =0,"-",SUMIFS(Table2[E. Patients on the CHD or Stroke/TIA or PAD register],Table2[OrgID],$D12,Table2[Rel_D],$D$61))</f>
        <v>196</v>
      </c>
      <c r="AT12" s="100">
        <f>IF(COUNTIFS(Table2[OrgID],D12,Table2[Rel_D],Details!$D$61) =0,"-",SUMIFS(Table2[13 Secondary prevention statins prescribed or offered in last 12m],Table2[OrgID],$D12,Table2[Rel_D],$D$61))</f>
        <v>96</v>
      </c>
      <c r="AU12" s="84">
        <f t="shared" si="11"/>
        <v>0.48979591836734693</v>
      </c>
      <c r="AV12" s="345">
        <v>0.44444444444444442</v>
      </c>
      <c r="AW12" s="433">
        <f>IF(COUNTIFS(Table2[OrgID],D12,Table2[Rel_D],Details!$D$61) =0,"-",SUMIFS(Table2[F. Patients on anticoagulants or antiplatelets 6m],Table2[OrgID],Details!D12,Table2[Rel_D],Details!$D$61))</f>
        <v>258</v>
      </c>
      <c r="AX12" s="434" t="e">
        <f>SUMIFS(#REF!,#REF!,Details!#REF!,#REF!,Details!$D$61)</f>
        <v>#REF!</v>
      </c>
      <c r="AY12" s="2">
        <f>IF(COUNTIFS(Table2[OrgID],D12,Table2[Rel_D],Details!$D$61) =0,"-",SUMIFS(Table2[Not on PPI 6m],Table2[OrgID],$D12,Table2[Rel_D],$D$61))</f>
        <v>97</v>
      </c>
      <c r="AZ12" s="69">
        <f>IF(COUNTIFS(Table2[OrgID],D12,Table2[Rel_D],Details!$D$61) =0,"-",SUMIFS(Table2[14 Not on PPI, reviewed],Table2[OrgID],$D12,Table2[Rel_D],$D$61))</f>
        <v>1</v>
      </c>
      <c r="BA12" s="84">
        <f t="shared" si="3"/>
        <v>1.0309278350515464E-2</v>
      </c>
      <c r="BB12" s="356">
        <v>0.68316831683168322</v>
      </c>
    </row>
    <row r="13" spans="3:54">
      <c r="C13" s="73" t="s">
        <v>143</v>
      </c>
      <c r="D13" s="74" t="s">
        <v>61</v>
      </c>
      <c r="E13" s="450">
        <f>SUMIFS(Table2[All currently registered regular patients aged 18+],Table2[OrgID],D13,Table2[Rel_D],Details!$D$61)</f>
        <v>7294</v>
      </c>
      <c r="F13" s="433" t="e">
        <f>SUMIFS(#REF!,#REF!,C13,#REF!,Details!$D$61)</f>
        <v>#REF!</v>
      </c>
      <c r="G13" s="115">
        <f>SUMIFS(Table2[A. Patients on the diabetes register],Table2[OrgID],D13,Table2[Rel_D],Details!$D$61)</f>
        <v>362</v>
      </c>
      <c r="H13" s="116">
        <f>SUMIFS(Table2[Type 2 diabetics],Table2[OrgID],D13,Table2[Rel_D],Details!$D$61)</f>
        <v>333</v>
      </c>
      <c r="I13" s="116">
        <f>SUMIFS(Table2[1 Diabetes review recorded or proxy 12m],Table2[OrgID],$D13,Table2[Rel_D],$D$61)</f>
        <v>194</v>
      </c>
      <c r="J13" s="234">
        <f t="shared" si="0"/>
        <v>0.58258258258258255</v>
      </c>
      <c r="K13" s="241">
        <v>0.33647798742138363</v>
      </c>
      <c r="L13" s="229">
        <f>SUMIFS(Table2[Eligible for triple target],Table2[OrgID],$D13,Table2[Rel_D],$D$61)</f>
        <v>231</v>
      </c>
      <c r="M13" s="116">
        <f>SUMIFS(Table2[3 Triple target achieved],Table2[OrgID],$D13,Table2[Rel_D],$D$61)</f>
        <v>40</v>
      </c>
      <c r="N13" s="234">
        <f t="shared" si="4"/>
        <v>0.17316017316017315</v>
      </c>
      <c r="O13" s="287">
        <v>0.15929203539823009</v>
      </c>
      <c r="P13" s="115">
        <f>SUMIFS(Table2[B. Patients on the COPD register],Table2[OrgID],$D13,Table2[Rel_D],$D$61)</f>
        <v>104</v>
      </c>
      <c r="Q13" s="229">
        <f>SUMIFS(Table2[4 COPD review coded or proxy (MRC) 12m],Table2[OrgID],$D13,Table2[Rel_D],$D$61)</f>
        <v>81</v>
      </c>
      <c r="R13" s="123">
        <f t="shared" si="5"/>
        <v>0.77884615384615385</v>
      </c>
      <c r="S13" s="241">
        <v>0.84684684684684686</v>
      </c>
      <c r="T13" s="116">
        <f>SUMIFS(Table2[6 CAT Score &amp; MRC scale recorded],Table2[OrgID],$D13,Table2[Rel_D],$D$61)</f>
        <v>61</v>
      </c>
      <c r="U13" s="123">
        <f t="shared" si="6"/>
        <v>0.75308641975308643</v>
      </c>
      <c r="V13" s="241">
        <v>0.6063829787234043</v>
      </c>
      <c r="W13" s="116">
        <f>SUMIFS(Table2[7 COPD action plan recorded 12m],Table2[OrgID],$D13,Table2[Rel_D],$D$61)</f>
        <v>13</v>
      </c>
      <c r="X13" s="234">
        <f t="shared" si="1"/>
        <v>0.16049382716049382</v>
      </c>
      <c r="Y13" s="249">
        <v>0.37234042553191488</v>
      </c>
      <c r="Z13" s="433">
        <f>SUMIFS(Table2[C. Patients on the asthma register],Table2[OrgID],$D13,Table2[Rel_D],$D$61)</f>
        <v>386</v>
      </c>
      <c r="AA13" s="434" t="e">
        <f>SUMIFS(#REF!,#REF!,$D13,#REF!,$D$61)</f>
        <v>#REF!</v>
      </c>
      <c r="AB13" s="2">
        <f>SUMIFS(Table2[8 Asthma review coded or proxy (inhaler technique) 12m],Table2[OrgID],$D13,Table2[Rel_D],$D$61)</f>
        <v>192</v>
      </c>
      <c r="AC13" s="93">
        <f t="shared" si="7"/>
        <v>0.49740932642487046</v>
      </c>
      <c r="AD13" s="260">
        <v>0.64655172413793105</v>
      </c>
      <c r="AE13" s="94">
        <f>SUMIFS(Table2[10 Asthma Action Plan recorded 12m],Table2[OrgID],$D13,Table2[Rel_D],$D$61)</f>
        <v>178</v>
      </c>
      <c r="AF13" s="93">
        <f t="shared" si="8"/>
        <v>0.92708333333333337</v>
      </c>
      <c r="AG13" s="260">
        <v>0.96888888888888891</v>
      </c>
      <c r="AH13" s="69">
        <f>SUMIFS(Table2[11 ACT recorded],Table2[OrgID],$D13,Table2[Rel_D],$D$61)</f>
        <v>182</v>
      </c>
      <c r="AI13" s="293">
        <f t="shared" si="2"/>
        <v>0.94791666666666663</v>
      </c>
      <c r="AJ13" s="300">
        <v>0.92888888888888888</v>
      </c>
      <c r="AK13" s="105">
        <f>SUMIFS(Table2[D. Patients on the hypertension register],Table2[OrgID],$D13,Table2[Rel_D],$D$61)</f>
        <v>807</v>
      </c>
      <c r="AL13" s="83">
        <f>SUMIFS(Table2[15 On target],Table2[OrgID],$D13,Table2[Rel_D],$D$61)</f>
        <v>427</v>
      </c>
      <c r="AM13" s="84">
        <f t="shared" si="9"/>
        <v>0.52912019826517964</v>
      </c>
      <c r="AN13" s="334">
        <v>0.53409090909090906</v>
      </c>
      <c r="AO13" s="83">
        <f>SUMIFS(Table2[Off target],Table2[OrgID],$D13,Table2[Rel_D],$D$61)</f>
        <v>380</v>
      </c>
      <c r="AP13" s="83">
        <f>SUMIFS(Table2[12 Off target, with clinical review (2)],Table2[OrgID],$D13,Table2[Rel_D],$D$61)</f>
        <v>107</v>
      </c>
      <c r="AQ13" s="84">
        <f t="shared" si="10"/>
        <v>0.28157894736842104</v>
      </c>
      <c r="AR13" s="340">
        <v>0.20054200542005421</v>
      </c>
      <c r="AS13" s="322">
        <f>SUMIFS(Table2[E. Patients on the CHD or Stroke/TIA or PAD register],Table2[OrgID],$D13,Table2[Rel_D],$D$61)</f>
        <v>156</v>
      </c>
      <c r="AT13" s="100">
        <f>SUMIFS(Table2[13 Secondary prevention statins prescribed or offered in last 12m],Table2[OrgID],$D13,Table2[Rel_D],$D$61)</f>
        <v>83</v>
      </c>
      <c r="AU13" s="84">
        <f t="shared" si="11"/>
        <v>0.53205128205128205</v>
      </c>
      <c r="AV13" s="345">
        <v>0.52564102564102566</v>
      </c>
      <c r="AW13" s="433">
        <f>SUMIFS(Table2[F. Patients on anticoagulants or antiplatelets 6m],Table2[OrgID],Details!D13,Table2[Rel_D],Details!$D$61)</f>
        <v>269</v>
      </c>
      <c r="AX13" s="434" t="e">
        <f>SUMIFS(#REF!,#REF!,Details!#REF!,#REF!,Details!$D$61)</f>
        <v>#REF!</v>
      </c>
      <c r="AY13" s="2">
        <f>SUMIFS(Table2[Not on PPI 6m],Table2[OrgID],$D13,Table2[Rel_D],$D$61)</f>
        <v>143</v>
      </c>
      <c r="AZ13" s="69">
        <f>SUMIFS(Table2[14 Not on PPI, reviewed],Table2[OrgID],$D13,Table2[Rel_D],$D$61)</f>
        <v>10</v>
      </c>
      <c r="BA13" s="84">
        <f t="shared" si="3"/>
        <v>6.9930069930069935E-2</v>
      </c>
      <c r="BB13" s="356">
        <v>0.15555555555555556</v>
      </c>
    </row>
    <row r="14" spans="3:54">
      <c r="C14" s="73" t="s">
        <v>144</v>
      </c>
      <c r="D14" s="74" t="s">
        <v>64</v>
      </c>
      <c r="E14" s="450">
        <f>SUMIFS(Table2[All currently registered regular patients aged 18+],Table2[OrgID],D14,Table2[Rel_D],Details!$D$61)</f>
        <v>5457</v>
      </c>
      <c r="F14" s="433" t="e">
        <f>SUMIFS(#REF!,#REF!,C14,#REF!,Details!$D$61)</f>
        <v>#REF!</v>
      </c>
      <c r="G14" s="115">
        <f>SUMIFS(Table2[A. Patients on the diabetes register],Table2[OrgID],D14,Table2[Rel_D],Details!$D$61)</f>
        <v>310</v>
      </c>
      <c r="H14" s="116">
        <f>SUMIFS(Table2[Type 2 diabetics],Table2[OrgID],D14,Table2[Rel_D],Details!$D$61)</f>
        <v>297</v>
      </c>
      <c r="I14" s="116">
        <f>SUMIFS(Table2[1 Diabetes review recorded or proxy 12m],Table2[OrgID],$D14,Table2[Rel_D],$D$61)</f>
        <v>161</v>
      </c>
      <c r="J14" s="234">
        <f t="shared" si="0"/>
        <v>0.54208754208754206</v>
      </c>
      <c r="K14" s="241">
        <v>0.71102661596958172</v>
      </c>
      <c r="L14" s="229">
        <f>SUMIFS(Table2[Eligible for triple target],Table2[OrgID],$D14,Table2[Rel_D],$D$61)</f>
        <v>220</v>
      </c>
      <c r="M14" s="116">
        <f>SUMIFS(Table2[3 Triple target achieved],Table2[OrgID],$D14,Table2[Rel_D],$D$61)</f>
        <v>20</v>
      </c>
      <c r="N14" s="234">
        <f t="shared" si="4"/>
        <v>9.0909090909090912E-2</v>
      </c>
      <c r="O14" s="287">
        <v>0.14772727272727273</v>
      </c>
      <c r="P14" s="115">
        <f>SUMIFS(Table2[B. Patients on the COPD register],Table2[OrgID],$D14,Table2[Rel_D],$D$61)</f>
        <v>26</v>
      </c>
      <c r="Q14" s="229">
        <f>SUMIFS(Table2[4 COPD review coded or proxy (MRC) 12m],Table2[OrgID],$D14,Table2[Rel_D],$D$61)</f>
        <v>8</v>
      </c>
      <c r="R14" s="123">
        <f t="shared" si="5"/>
        <v>0.30769230769230771</v>
      </c>
      <c r="S14" s="241">
        <v>0.88</v>
      </c>
      <c r="T14" s="116">
        <f>SUMIFS(Table2[6 CAT Score &amp; MRC scale recorded],Table2[OrgID],$D14,Table2[Rel_D],$D$61)</f>
        <v>4</v>
      </c>
      <c r="U14" s="123">
        <f t="shared" si="6"/>
        <v>0.5</v>
      </c>
      <c r="V14" s="241">
        <v>0.18181818181818182</v>
      </c>
      <c r="W14" s="116">
        <f>SUMIFS(Table2[7 COPD action plan recorded 12m],Table2[OrgID],$D14,Table2[Rel_D],$D$61)</f>
        <v>1</v>
      </c>
      <c r="X14" s="234">
        <f t="shared" si="1"/>
        <v>0.125</v>
      </c>
      <c r="Y14" s="249">
        <v>0.31818181818181818</v>
      </c>
      <c r="Z14" s="433">
        <f>SUMIFS(Table2[C. Patients on the asthma register],Table2[OrgID],$D14,Table2[Rel_D],$D$61)</f>
        <v>199</v>
      </c>
      <c r="AA14" s="434" t="e">
        <f>SUMIFS(#REF!,#REF!,$D14,#REF!,$D$61)</f>
        <v>#REF!</v>
      </c>
      <c r="AB14" s="2">
        <f>SUMIFS(Table2[8 Asthma review coded or proxy (inhaler technique) 12m],Table2[OrgID],$D14,Table2[Rel_D],$D$61)</f>
        <v>135</v>
      </c>
      <c r="AC14" s="93">
        <f t="shared" si="7"/>
        <v>0.67839195979899503</v>
      </c>
      <c r="AD14" s="260">
        <v>0.79234972677595628</v>
      </c>
      <c r="AE14" s="94">
        <f>SUMIFS(Table2[10 Asthma Action Plan recorded 12m],Table2[OrgID],$D14,Table2[Rel_D],$D$61)</f>
        <v>121</v>
      </c>
      <c r="AF14" s="93">
        <f t="shared" si="8"/>
        <v>0.89629629629629626</v>
      </c>
      <c r="AG14" s="260">
        <v>0.95862068965517244</v>
      </c>
      <c r="AH14" s="69">
        <f>SUMIFS(Table2[11 ACT recorded],Table2[OrgID],$D14,Table2[Rel_D],$D$61)</f>
        <v>113</v>
      </c>
      <c r="AI14" s="293">
        <f t="shared" si="2"/>
        <v>0.83703703703703702</v>
      </c>
      <c r="AJ14" s="300">
        <v>0.93793103448275861</v>
      </c>
      <c r="AK14" s="105">
        <f>SUMIFS(Table2[D. Patients on the hypertension register],Table2[OrgID],$D14,Table2[Rel_D],$D$61)</f>
        <v>544</v>
      </c>
      <c r="AL14" s="83">
        <f>SUMIFS(Table2[15 On target],Table2[OrgID],$D14,Table2[Rel_D],$D$61)</f>
        <v>236</v>
      </c>
      <c r="AM14" s="84">
        <f t="shared" si="9"/>
        <v>0.43382352941176472</v>
      </c>
      <c r="AN14" s="334">
        <v>0.61328125</v>
      </c>
      <c r="AO14" s="83">
        <f>SUMIFS(Table2[Off target],Table2[OrgID],$D14,Table2[Rel_D],$D$61)</f>
        <v>308</v>
      </c>
      <c r="AP14" s="83">
        <f>SUMIFS(Table2[12 Off target, with clinical review (2)],Table2[OrgID],$D14,Table2[Rel_D],$D$61)</f>
        <v>58</v>
      </c>
      <c r="AQ14" s="84">
        <f t="shared" si="10"/>
        <v>0.18831168831168832</v>
      </c>
      <c r="AR14" s="340">
        <v>0.19696969696969696</v>
      </c>
      <c r="AS14" s="322">
        <f>SUMIFS(Table2[E. Patients on the CHD or Stroke/TIA or PAD register],Table2[OrgID],$D14,Table2[Rel_D],$D$61)</f>
        <v>113</v>
      </c>
      <c r="AT14" s="100">
        <f>SUMIFS(Table2[13 Secondary prevention statins prescribed or offered in last 12m],Table2[OrgID],$D14,Table2[Rel_D],$D$61)</f>
        <v>54</v>
      </c>
      <c r="AU14" s="84">
        <f t="shared" si="11"/>
        <v>0.47787610619469029</v>
      </c>
      <c r="AV14" s="345">
        <v>0.43518518518518517</v>
      </c>
      <c r="AW14" s="433">
        <f>SUMIFS(Table2[F. Patients on anticoagulants or antiplatelets 6m],Table2[OrgID],Details!D14,Table2[Rel_D],Details!$D$61)</f>
        <v>179</v>
      </c>
      <c r="AX14" s="434" t="e">
        <f>SUMIFS(#REF!,#REF!,Details!#REF!,#REF!,Details!$D$61)</f>
        <v>#REF!</v>
      </c>
      <c r="AY14" s="2">
        <f>SUMIFS(Table2[Not on PPI 6m],Table2[OrgID],$D14,Table2[Rel_D],$D$61)</f>
        <v>100</v>
      </c>
      <c r="AZ14" s="69">
        <f>SUMIFS(Table2[14 Not on PPI, reviewed],Table2[OrgID],$D14,Table2[Rel_D],$D$61)</f>
        <v>5</v>
      </c>
      <c r="BA14" s="84">
        <f t="shared" si="3"/>
        <v>0.05</v>
      </c>
      <c r="BB14" s="356">
        <v>0.16129032258064516</v>
      </c>
    </row>
    <row r="15" spans="3:54">
      <c r="C15" s="73" t="s">
        <v>145</v>
      </c>
      <c r="D15" s="74" t="s">
        <v>65</v>
      </c>
      <c r="E15" s="450">
        <f>SUMIFS(Table2[All currently registered regular patients aged 18+],Table2[OrgID],D15,Table2[Rel_D],Details!$D$61)</f>
        <v>4824</v>
      </c>
      <c r="F15" s="433" t="e">
        <f>SUMIFS(#REF!,#REF!,C15,#REF!,Details!$D$61)</f>
        <v>#REF!</v>
      </c>
      <c r="G15" s="115">
        <f>SUMIFS(Table2[A. Patients on the diabetes register],Table2[OrgID],D15,Table2[Rel_D],Details!$D$61)</f>
        <v>417</v>
      </c>
      <c r="H15" s="116">
        <f>SUMIFS(Table2[Type 2 diabetics],Table2[OrgID],D15,Table2[Rel_D],Details!$D$61)</f>
        <v>391</v>
      </c>
      <c r="I15" s="116">
        <f>SUMIFS(Table2[1 Diabetes review recorded or proxy 12m],Table2[OrgID],$D15,Table2[Rel_D],$D$61)</f>
        <v>159</v>
      </c>
      <c r="J15" s="234">
        <f t="shared" si="0"/>
        <v>0.40664961636828645</v>
      </c>
      <c r="K15" s="241">
        <v>0.23958333333333334</v>
      </c>
      <c r="L15" s="229">
        <f>SUMIFS(Table2[Eligible for triple target],Table2[OrgID],$D15,Table2[Rel_D],$D$61)</f>
        <v>263</v>
      </c>
      <c r="M15" s="116">
        <f>SUMIFS(Table2[3 Triple target achieved],Table2[OrgID],$D15,Table2[Rel_D],$D$61)</f>
        <v>20</v>
      </c>
      <c r="N15" s="234">
        <f t="shared" si="4"/>
        <v>7.6045627376425853E-2</v>
      </c>
      <c r="O15" s="287">
        <v>6.6914498141263934E-2</v>
      </c>
      <c r="P15" s="115">
        <f>SUMIFS(Table2[B. Patients on the COPD register],Table2[OrgID],$D15,Table2[Rel_D],$D$61)</f>
        <v>77</v>
      </c>
      <c r="Q15" s="229">
        <f>SUMIFS(Table2[4 COPD review coded or proxy (MRC) 12m],Table2[OrgID],$D15,Table2[Rel_D],$D$61)</f>
        <v>36</v>
      </c>
      <c r="R15" s="123">
        <f t="shared" si="5"/>
        <v>0.46753246753246752</v>
      </c>
      <c r="S15" s="241">
        <v>0.51249999999999996</v>
      </c>
      <c r="T15" s="116">
        <f>SUMIFS(Table2[6 CAT Score &amp; MRC scale recorded],Table2[OrgID],$D15,Table2[Rel_D],$D$61)</f>
        <v>23</v>
      </c>
      <c r="U15" s="123">
        <f t="shared" si="6"/>
        <v>0.63888888888888884</v>
      </c>
      <c r="V15" s="241">
        <v>0.58536585365853655</v>
      </c>
      <c r="W15" s="116">
        <f>SUMIFS(Table2[7 COPD action plan recorded 12m],Table2[OrgID],$D15,Table2[Rel_D],$D$61)</f>
        <v>19</v>
      </c>
      <c r="X15" s="234">
        <f t="shared" si="1"/>
        <v>0.52777777777777779</v>
      </c>
      <c r="Y15" s="249">
        <v>0.6097560975609756</v>
      </c>
      <c r="Z15" s="433">
        <f>SUMIFS(Table2[C. Patients on the asthma register],Table2[OrgID],$D15,Table2[Rel_D],$D$61)</f>
        <v>310</v>
      </c>
      <c r="AA15" s="434" t="e">
        <f>SUMIFS(#REF!,#REF!,$D15,#REF!,$D$61)</f>
        <v>#REF!</v>
      </c>
      <c r="AB15" s="2">
        <f>SUMIFS(Table2[8 Asthma review coded or proxy (inhaler technique) 12m],Table2[OrgID],$D15,Table2[Rel_D],$D$61)</f>
        <v>166</v>
      </c>
      <c r="AC15" s="93">
        <f t="shared" si="7"/>
        <v>0.53548387096774197</v>
      </c>
      <c r="AD15" s="260">
        <v>0.45426829268292684</v>
      </c>
      <c r="AE15" s="94">
        <f>SUMIFS(Table2[10 Asthma Action Plan recorded 12m],Table2[OrgID],$D15,Table2[Rel_D],$D$61)</f>
        <v>160</v>
      </c>
      <c r="AF15" s="93">
        <f t="shared" si="8"/>
        <v>0.96385542168674698</v>
      </c>
      <c r="AG15" s="260">
        <v>1</v>
      </c>
      <c r="AH15" s="69">
        <f>SUMIFS(Table2[11 ACT recorded],Table2[OrgID],$D15,Table2[Rel_D],$D$61)</f>
        <v>156</v>
      </c>
      <c r="AI15" s="293">
        <f t="shared" si="2"/>
        <v>0.93975903614457834</v>
      </c>
      <c r="AJ15" s="300">
        <v>1</v>
      </c>
      <c r="AK15" s="105">
        <f>SUMIFS(Table2[D. Patients on the hypertension register],Table2[OrgID],$D15,Table2[Rel_D],$D$61)</f>
        <v>705</v>
      </c>
      <c r="AL15" s="83">
        <f>SUMIFS(Table2[15 On target],Table2[OrgID],$D15,Table2[Rel_D],$D$61)</f>
        <v>247</v>
      </c>
      <c r="AM15" s="84">
        <f t="shared" si="9"/>
        <v>0.35035460992907802</v>
      </c>
      <c r="AN15" s="334">
        <v>0.34728033472803349</v>
      </c>
      <c r="AO15" s="83">
        <f>SUMIFS(Table2[Off target],Table2[OrgID],$D15,Table2[Rel_D],$D$61)</f>
        <v>458</v>
      </c>
      <c r="AP15" s="83">
        <f>SUMIFS(Table2[12 Off target, with clinical review (2)],Table2[OrgID],$D15,Table2[Rel_D],$D$61)</f>
        <v>60</v>
      </c>
      <c r="AQ15" s="84">
        <f t="shared" si="10"/>
        <v>0.13100436681222707</v>
      </c>
      <c r="AR15" s="340">
        <v>6.8376068376068383E-2</v>
      </c>
      <c r="AS15" s="322">
        <f>SUMIFS(Table2[E. Patients on the CHD or Stroke/TIA or PAD register],Table2[OrgID],$D15,Table2[Rel_D],$D$61)</f>
        <v>165</v>
      </c>
      <c r="AT15" s="100">
        <f>SUMIFS(Table2[13 Secondary prevention statins prescribed or offered in last 12m],Table2[OrgID],$D15,Table2[Rel_D],$D$61)</f>
        <v>87</v>
      </c>
      <c r="AU15" s="84">
        <f t="shared" si="11"/>
        <v>0.52727272727272723</v>
      </c>
      <c r="AV15" s="345">
        <v>0.51552795031055898</v>
      </c>
      <c r="AW15" s="433">
        <f>SUMIFS(Table2[F. Patients on anticoagulants or antiplatelets 6m],Table2[OrgID],Details!D15,Table2[Rel_D],Details!$D$61)</f>
        <v>257</v>
      </c>
      <c r="AX15" s="434" t="e">
        <f>SUMIFS(#REF!,#REF!,Details!#REF!,#REF!,Details!$D$61)</f>
        <v>#REF!</v>
      </c>
      <c r="AY15" s="2">
        <f>SUMIFS(Table2[Not on PPI 6m],Table2[OrgID],$D15,Table2[Rel_D],$D$61)</f>
        <v>97</v>
      </c>
      <c r="AZ15" s="69">
        <f>SUMIFS(Table2[14 Not on PPI, reviewed],Table2[OrgID],$D15,Table2[Rel_D],$D$61)</f>
        <v>8</v>
      </c>
      <c r="BA15" s="84">
        <f t="shared" si="3"/>
        <v>8.247422680412371E-2</v>
      </c>
      <c r="BB15" s="356">
        <v>0.23853211009174313</v>
      </c>
    </row>
    <row r="16" spans="3:54">
      <c r="C16" s="73" t="s">
        <v>146</v>
      </c>
      <c r="D16" s="74" t="s">
        <v>66</v>
      </c>
      <c r="E16" s="450">
        <f>SUMIFS(Table2[All currently registered regular patients aged 18+],Table2[OrgID],D16,Table2[Rel_D],Details!$D$61)</f>
        <v>3253</v>
      </c>
      <c r="F16" s="433" t="e">
        <f>SUMIFS(#REF!,#REF!,C16,#REF!,Details!$D$61)</f>
        <v>#REF!</v>
      </c>
      <c r="G16" s="115">
        <f>SUMIFS(Table2[A. Patients on the diabetes register],Table2[OrgID],D16,Table2[Rel_D],Details!$D$61)</f>
        <v>127</v>
      </c>
      <c r="H16" s="116">
        <f>SUMIFS(Table2[Type 2 diabetics],Table2[OrgID],D16,Table2[Rel_D],Details!$D$61)</f>
        <v>114</v>
      </c>
      <c r="I16" s="116">
        <f>SUMIFS(Table2[1 Diabetes review recorded or proxy 12m],Table2[OrgID],$D16,Table2[Rel_D],$D$61)</f>
        <v>85</v>
      </c>
      <c r="J16" s="234">
        <f t="shared" si="0"/>
        <v>0.74561403508771928</v>
      </c>
      <c r="K16" s="241">
        <v>0.71171171171171166</v>
      </c>
      <c r="L16" s="229">
        <f>SUMIFS(Table2[Eligible for triple target],Table2[OrgID],$D16,Table2[Rel_D],$D$61)</f>
        <v>73</v>
      </c>
      <c r="M16" s="116">
        <f>SUMIFS(Table2[3 Triple target achieved],Table2[OrgID],$D16,Table2[Rel_D],$D$61)</f>
        <v>9</v>
      </c>
      <c r="N16" s="234">
        <f t="shared" si="4"/>
        <v>0.12328767123287671</v>
      </c>
      <c r="O16" s="287">
        <v>0.2</v>
      </c>
      <c r="P16" s="115">
        <f>SUMIFS(Table2[B. Patients on the COPD register],Table2[OrgID],$D16,Table2[Rel_D],$D$61)</f>
        <v>44</v>
      </c>
      <c r="Q16" s="229">
        <f>SUMIFS(Table2[4 COPD review coded or proxy (MRC) 12m],Table2[OrgID],$D16,Table2[Rel_D],$D$61)</f>
        <v>38</v>
      </c>
      <c r="R16" s="123">
        <f t="shared" si="5"/>
        <v>0.86363636363636365</v>
      </c>
      <c r="S16" s="241">
        <v>0.73170731707317072</v>
      </c>
      <c r="T16" s="116">
        <f>SUMIFS(Table2[6 CAT Score &amp; MRC scale recorded],Table2[OrgID],$D16,Table2[Rel_D],$D$61)</f>
        <v>21</v>
      </c>
      <c r="U16" s="123">
        <f t="shared" si="6"/>
        <v>0.55263157894736847</v>
      </c>
      <c r="V16" s="241">
        <v>0</v>
      </c>
      <c r="W16" s="116">
        <f>SUMIFS(Table2[7 COPD action plan recorded 12m],Table2[OrgID],$D16,Table2[Rel_D],$D$61)</f>
        <v>4</v>
      </c>
      <c r="X16" s="234">
        <f t="shared" si="1"/>
        <v>0.10526315789473684</v>
      </c>
      <c r="Y16" s="249">
        <v>0.26666666666666666</v>
      </c>
      <c r="Z16" s="433">
        <f>SUMIFS(Table2[C. Patients on the asthma register],Table2[OrgID],$D16,Table2[Rel_D],$D$61)</f>
        <v>188</v>
      </c>
      <c r="AA16" s="434" t="e">
        <f>SUMIFS(#REF!,#REF!,$D16,#REF!,$D$61)</f>
        <v>#REF!</v>
      </c>
      <c r="AB16" s="2">
        <f>SUMIFS(Table2[8 Asthma review coded or proxy (inhaler technique) 12m],Table2[OrgID],$D16,Table2[Rel_D],$D$61)</f>
        <v>130</v>
      </c>
      <c r="AC16" s="93">
        <f t="shared" si="7"/>
        <v>0.69148936170212771</v>
      </c>
      <c r="AD16" s="260">
        <v>0.60962566844919786</v>
      </c>
      <c r="AE16" s="94">
        <f>SUMIFS(Table2[10 Asthma Action Plan recorded 12m],Table2[OrgID],$D16,Table2[Rel_D],$D$61)</f>
        <v>117</v>
      </c>
      <c r="AF16" s="93">
        <f t="shared" si="8"/>
        <v>0.9</v>
      </c>
      <c r="AG16" s="260">
        <v>0.99122807017543857</v>
      </c>
      <c r="AH16" s="69">
        <f>SUMIFS(Table2[11 ACT recorded],Table2[OrgID],$D16,Table2[Rel_D],$D$61)</f>
        <v>119</v>
      </c>
      <c r="AI16" s="293">
        <f t="shared" si="2"/>
        <v>0.91538461538461535</v>
      </c>
      <c r="AJ16" s="300">
        <v>0.99122807017543857</v>
      </c>
      <c r="AK16" s="105">
        <f>SUMIFS(Table2[D. Patients on the hypertension register],Table2[OrgID],$D16,Table2[Rel_D],$D$61)</f>
        <v>297</v>
      </c>
      <c r="AL16" s="83">
        <f>SUMIFS(Table2[15 On target],Table2[OrgID],$D16,Table2[Rel_D],$D$61)</f>
        <v>196</v>
      </c>
      <c r="AM16" s="84">
        <f t="shared" si="9"/>
        <v>0.65993265993265993</v>
      </c>
      <c r="AN16" s="334">
        <v>0.58724832214765099</v>
      </c>
      <c r="AO16" s="83">
        <f>SUMIFS(Table2[Off target],Table2[OrgID],$D16,Table2[Rel_D],$D$61)</f>
        <v>101</v>
      </c>
      <c r="AP16" s="83">
        <f>SUMIFS(Table2[12 Off target, with clinical review (2)],Table2[OrgID],$D16,Table2[Rel_D],$D$61)</f>
        <v>38</v>
      </c>
      <c r="AQ16" s="84">
        <f t="shared" si="10"/>
        <v>0.37623762376237624</v>
      </c>
      <c r="AR16" s="340">
        <v>0.14634146341463414</v>
      </c>
      <c r="AS16" s="322">
        <f>SUMIFS(Table2[E. Patients on the CHD or Stroke/TIA or PAD register],Table2[OrgID],$D16,Table2[Rel_D],$D$61)</f>
        <v>77</v>
      </c>
      <c r="AT16" s="100">
        <f>SUMIFS(Table2[13 Secondary prevention statins prescribed or offered in last 12m],Table2[OrgID],$D16,Table2[Rel_D],$D$61)</f>
        <v>45</v>
      </c>
      <c r="AU16" s="84">
        <f t="shared" si="11"/>
        <v>0.58441558441558439</v>
      </c>
      <c r="AV16" s="345">
        <v>0.41666666666666669</v>
      </c>
      <c r="AW16" s="433">
        <f>SUMIFS(Table2[F. Patients on anticoagulants or antiplatelets 6m],Table2[OrgID],Details!D16,Table2[Rel_D],Details!$D$61)</f>
        <v>113</v>
      </c>
      <c r="AX16" s="434" t="e">
        <f>SUMIFS(#REF!,#REF!,Details!#REF!,#REF!,Details!$D$61)</f>
        <v>#REF!</v>
      </c>
      <c r="AY16" s="2">
        <f>SUMIFS(Table2[Not on PPI 6m],Table2[OrgID],$D16,Table2[Rel_D],$D$61)</f>
        <v>50</v>
      </c>
      <c r="AZ16" s="69">
        <f>SUMIFS(Table2[14 Not on PPI, reviewed],Table2[OrgID],$D16,Table2[Rel_D],$D$61)</f>
        <v>11</v>
      </c>
      <c r="BA16" s="84">
        <f t="shared" si="3"/>
        <v>0.22</v>
      </c>
      <c r="BB16" s="356">
        <v>0.30769230769230771</v>
      </c>
    </row>
    <row r="17" spans="3:54" ht="15.75" thickBot="1">
      <c r="C17" s="75" t="s">
        <v>147</v>
      </c>
      <c r="D17" s="76" t="s">
        <v>58</v>
      </c>
      <c r="E17" s="455">
        <f>IF(COUNTIFS(Table2[OrgID],D17,Table2[Rel_D],Details!$D$61) =0,"-",SUMIFS(Table2[All currently registered regular patients aged 18+],Table2[OrgID],D17,Table2[Rel_D],Details!$D$61))</f>
        <v>5585</v>
      </c>
      <c r="F17" s="435" t="e">
        <f>SUMIFS(#REF!,#REF!,C17,#REF!,Details!$D$61)</f>
        <v>#REF!</v>
      </c>
      <c r="G17" s="117">
        <f>IF(COUNTIFS(Table2[OrgID],D17,Table2[Rel_D],Details!$D$61) =0,"-",SUMIFS(Table2[A. Patients on the diabetes register],Table2[OrgID],D17,Table2[Rel_D],Details!$D$61))</f>
        <v>410</v>
      </c>
      <c r="H17" s="118">
        <f>IF(COUNTIFS(Table2[OrgID],D17,Table2[Rel_D],Details!$D$61) =0,"-",SUMIFS(Table2[Type 2 diabetics],Table2[OrgID],D17,Table2[Rel_D],Details!$D$61))</f>
        <v>383</v>
      </c>
      <c r="I17" s="118">
        <f>IF(COUNTIFS(Table2[OrgID],D17,Table2[Rel_D],Details!$D$61) =0,"-",SUMIFS(Table2[1 Diabetes review recorded or proxy 12m],Table2[OrgID],$D17,Table2[Rel_D],$D$61))</f>
        <v>221</v>
      </c>
      <c r="J17" s="234">
        <f t="shared" si="0"/>
        <v>0.57702349869451697</v>
      </c>
      <c r="K17" s="242">
        <v>0.67979002624671914</v>
      </c>
      <c r="L17" s="230">
        <f>IF(COUNTIFS(Table2[OrgID],D17,Table2[Rel_D],Details!$D$61) =0,"-",SUMIFS(Table2[Eligible for triple target],Table2[OrgID],$D17,Table2[Rel_D],$D$61))</f>
        <v>281</v>
      </c>
      <c r="M17" s="118">
        <f>IF(COUNTIFS(Table2[OrgID],D17,Table2[Rel_D],Details!$D$61) =0,"-",SUMIFS(Table2[3 Triple target achieved],Table2[OrgID],$D17,Table2[Rel_D],$D$61))</f>
        <v>51</v>
      </c>
      <c r="N17" s="234">
        <f t="shared" si="4"/>
        <v>0.18149466192170818</v>
      </c>
      <c r="O17" s="289">
        <v>3.134796238244514E-3</v>
      </c>
      <c r="P17" s="117">
        <f>IF(COUNTIFS(Table2[OrgID],D17,Table2[Rel_D],Details!$D$61) =0,"-",SUMIFS(Table2[B. Patients on the COPD register],Table2[OrgID],$D17,Table2[Rel_D],$D$61))</f>
        <v>70</v>
      </c>
      <c r="Q17" s="230">
        <f>IF(COUNTIFS(Table2[OrgID],D17,Table2[Rel_D],Details!$D$61) =0,"-",SUMIFS(Table2[4 COPD review coded or proxy (MRC) 12m],Table2[OrgID],$D17,Table2[Rel_D],$D$61))</f>
        <v>50</v>
      </c>
      <c r="R17" s="123">
        <f t="shared" si="5"/>
        <v>0.7142857142857143</v>
      </c>
      <c r="S17" s="242">
        <v>0</v>
      </c>
      <c r="T17" s="118">
        <f>IF(COUNTIFS(Table2[OrgID],D17,Table2[Rel_D],Details!$D$61) =0,"-",SUMIFS(Table2[6 CAT Score &amp; MRC scale recorded],Table2[OrgID],$D17,Table2[Rel_D],$D$61))</f>
        <v>0</v>
      </c>
      <c r="U17" s="123">
        <f t="shared" si="6"/>
        <v>0</v>
      </c>
      <c r="V17" s="242">
        <v>0</v>
      </c>
      <c r="W17" s="118">
        <f>IF(COUNTIFS(Table2[OrgID],D17,Table2[Rel_D],Details!$D$61) =0,"-",SUMIFS(Table2[7 COPD action plan recorded 12m],Table2[OrgID],$D17,Table2[Rel_D],$D$61))</f>
        <v>0</v>
      </c>
      <c r="X17" s="234">
        <f t="shared" si="1"/>
        <v>0</v>
      </c>
      <c r="Y17" s="250">
        <v>0</v>
      </c>
      <c r="Z17" s="435">
        <f>IF(COUNTIFS(Table2[OrgID],D17,Table2[Rel_D],Details!$D$61) =0,"-",SUMIFS(Table2[C. Patients on the asthma register],Table2[OrgID],$D17,Table2[Rel_D],$D$61))</f>
        <v>356</v>
      </c>
      <c r="AA17" s="436" t="e">
        <f>SUMIFS(#REF!,#REF!,$D17,#REF!,$D$61)</f>
        <v>#REF!</v>
      </c>
      <c r="AB17" s="3">
        <f>IF(COUNTIFS(Table2[OrgID],D17,Table2[Rel_D],Details!$D$61) =0,"-",SUMIFS(Table2[8 Asthma review coded or proxy (inhaler technique) 12m],Table2[OrgID],$D17,Table2[Rel_D],$D$61))</f>
        <v>340</v>
      </c>
      <c r="AC17" s="93">
        <f t="shared" si="7"/>
        <v>0.9550561797752809</v>
      </c>
      <c r="AD17" s="261">
        <v>0.78888888888888886</v>
      </c>
      <c r="AE17" s="188">
        <f>IF(COUNTIFS(Table2[OrgID],D17,Table2[Rel_D],Details!$D$61) =0,"-",SUMIFS(Table2[10 Asthma Action Plan recorded 12m],Table2[OrgID],$D17,Table2[Rel_D],$D$61))</f>
        <v>251</v>
      </c>
      <c r="AF17" s="93">
        <f t="shared" si="8"/>
        <v>0.7382352941176471</v>
      </c>
      <c r="AG17" s="261">
        <v>0.96478873239436624</v>
      </c>
      <c r="AH17" s="3">
        <f>IF(COUNTIFS(Table2[OrgID],D17,Table2[Rel_D],Details!$D$61) =0,"-",SUMIFS(Table2[11 ACT recorded],Table2[OrgID],$D17,Table2[Rel_D],$D$61))</f>
        <v>248</v>
      </c>
      <c r="AI17" s="293">
        <f t="shared" si="2"/>
        <v>0.72941176470588232</v>
      </c>
      <c r="AJ17" s="301">
        <v>0.95070422535211263</v>
      </c>
      <c r="AK17" s="189">
        <f>IF(COUNTIFS(Table2[OrgID],D17,Table2[Rel_D],Details!$D$61) =0,"-",SUMIFS(Table2[D. Patients on the hypertension register],Table2[OrgID],$D17,Table2[Rel_D],$D$61))</f>
        <v>692</v>
      </c>
      <c r="AL17" s="190">
        <f>IF(COUNTIFS(Table2[OrgID],D17,Table2[Rel_D],Details!$D$61) =0,"-",SUMIFS(Table2[15 On target],Table2[OrgID],$D17,Table2[Rel_D],$D$61))</f>
        <v>357</v>
      </c>
      <c r="AM17" s="84">
        <f t="shared" si="9"/>
        <v>0.51589595375722541</v>
      </c>
      <c r="AN17" s="335">
        <v>0.30083565459610029</v>
      </c>
      <c r="AO17" s="190">
        <f>IF(COUNTIFS(Table2[OrgID],D17,Table2[Rel_D],Details!$D$61) =0,"-",SUMIFS(Table2[Off target],Table2[OrgID],$D17,Table2[Rel_D],$D$61))</f>
        <v>335</v>
      </c>
      <c r="AP17" s="190">
        <f>IFERROR(IF(COUNTIFS(Table2[OrgID],D17,Table2[Rel_D],Details!$D$61) =0,"-",SUMIFS(Table2[12 Off target, with clinical review (2)],Table2[OrgID],$D17,Table2[Rel_D],$D$61)),"-")</f>
        <v>163</v>
      </c>
      <c r="AQ17" s="84">
        <f t="shared" si="10"/>
        <v>0.48656716417910445</v>
      </c>
      <c r="AR17" s="341">
        <v>0.73904382470119523</v>
      </c>
      <c r="AS17" s="323">
        <f>IF(COUNTIFS(Table2[OrgID],D17,Table2[Rel_D],Details!$D$61) =0,"-",SUMIFS(Table2[E. Patients on the CHD or Stroke/TIA or PAD register],Table2[OrgID],$D17,Table2[Rel_D],$D$61))</f>
        <v>212</v>
      </c>
      <c r="AT17" s="191">
        <f>IF(COUNTIFS(Table2[OrgID],D17,Table2[Rel_D],Details!$D$61) =0,"-",SUMIFS(Table2[13 Secondary prevention statins prescribed or offered in last 12m],Table2[OrgID],$D17,Table2[Rel_D],$D$61))</f>
        <v>104</v>
      </c>
      <c r="AU17" s="84">
        <f t="shared" si="11"/>
        <v>0.49056603773584906</v>
      </c>
      <c r="AV17" s="346">
        <v>0.47272727272727272</v>
      </c>
      <c r="AW17" s="435">
        <f>IF(COUNTIFS(Table2[OrgID],D17,Table2[Rel_D],Details!$D$61) =0,"-",SUMIFS(Table2[F. Patients on anticoagulants or antiplatelets 6m],Table2[OrgID],Details!D17,Table2[Rel_D],Details!$D$61))</f>
        <v>323</v>
      </c>
      <c r="AX17" s="436" t="e">
        <f>SUMIFS(#REF!,#REF!,Details!#REF!,#REF!,Details!$D$61)</f>
        <v>#REF!</v>
      </c>
      <c r="AY17" s="3">
        <f>IF(COUNTIFS(Table2[OrgID],D17,Table2[Rel_D],Details!$D$61) =0,"-",SUMIFS(Table2[Not on PPI 6m],Table2[OrgID],$D17,Table2[Rel_D],$D$61))</f>
        <v>129</v>
      </c>
      <c r="AZ17" s="3">
        <f>IF(COUNTIFS(Table2[OrgID],D17,Table2[Rel_D],Details!$D$61) =0,"-",SUMIFS(Table2[14 Not on PPI, reviewed],Table2[OrgID],$D17,Table2[Rel_D],$D$61))</f>
        <v>0</v>
      </c>
      <c r="BA17" s="84">
        <f t="shared" si="3"/>
        <v>0</v>
      </c>
      <c r="BB17" s="357">
        <v>0.81395348837209303</v>
      </c>
    </row>
    <row r="18" spans="3:54" ht="18" customHeight="1" thickBot="1">
      <c r="C18" s="17" t="s">
        <v>148</v>
      </c>
      <c r="D18" s="18" t="s">
        <v>67</v>
      </c>
      <c r="E18" s="447">
        <f t="shared" ref="E18:F18" si="12">SUM(E10:E17)</f>
        <v>40125</v>
      </c>
      <c r="F18" s="448" t="e">
        <f t="shared" si="12"/>
        <v>#REF!</v>
      </c>
      <c r="G18" s="119">
        <f>SUM(G10:G17)</f>
        <v>2647</v>
      </c>
      <c r="H18" s="120">
        <f t="shared" ref="H18:W18" si="13">SUM(H10:H17)</f>
        <v>2474</v>
      </c>
      <c r="I18" s="120">
        <f t="shared" si="13"/>
        <v>1464</v>
      </c>
      <c r="J18" s="235">
        <f t="shared" si="0"/>
        <v>0.59175424413904609</v>
      </c>
      <c r="K18" s="253">
        <v>0.50408516959643479</v>
      </c>
      <c r="L18" s="239">
        <f t="shared" si="13"/>
        <v>1661</v>
      </c>
      <c r="M18" s="120">
        <f t="shared" si="13"/>
        <v>222</v>
      </c>
      <c r="N18" s="235">
        <f t="shared" si="4"/>
        <v>0.13365442504515351</v>
      </c>
      <c r="O18" s="290">
        <v>9.3183466279912974E-2</v>
      </c>
      <c r="P18" s="364">
        <f t="shared" si="13"/>
        <v>593</v>
      </c>
      <c r="Q18" s="217">
        <f t="shared" si="13"/>
        <v>459</v>
      </c>
      <c r="R18" s="128">
        <f t="shared" si="5"/>
        <v>0.77403035413153454</v>
      </c>
      <c r="S18" s="128">
        <v>0.65306122448979587</v>
      </c>
      <c r="T18" s="127">
        <f t="shared" si="13"/>
        <v>214</v>
      </c>
      <c r="U18" s="128">
        <f t="shared" si="6"/>
        <v>0.4662309368191721</v>
      </c>
      <c r="V18" s="251">
        <v>0.32451923076923078</v>
      </c>
      <c r="W18" s="127">
        <f t="shared" si="13"/>
        <v>171</v>
      </c>
      <c r="X18" s="243">
        <f t="shared" si="1"/>
        <v>0.37254901960784315</v>
      </c>
      <c r="Y18" s="254">
        <v>0.41466346153846156</v>
      </c>
      <c r="Z18" s="445">
        <f t="shared" ref="Z18:AA18" si="14">SUM(Z10:Z17)</f>
        <v>2210</v>
      </c>
      <c r="AA18" s="446" t="e">
        <f t="shared" si="14"/>
        <v>#REF!</v>
      </c>
      <c r="AB18" s="130">
        <f>SUM(AB10:AB17)</f>
        <v>1492</v>
      </c>
      <c r="AC18" s="131">
        <f t="shared" si="7"/>
        <v>0.67511312217194575</v>
      </c>
      <c r="AD18" s="131">
        <v>0.68547740037443161</v>
      </c>
      <c r="AE18" s="132">
        <f>SUM(AE10:AE17)</f>
        <v>1342</v>
      </c>
      <c r="AF18" s="131">
        <f t="shared" si="8"/>
        <v>0.89946380697050943</v>
      </c>
      <c r="AG18" s="131">
        <v>0.96839641045649627</v>
      </c>
      <c r="AH18" s="133">
        <f>SUM(AH10:AH17)</f>
        <v>1330</v>
      </c>
      <c r="AI18" s="294">
        <f t="shared" si="2"/>
        <v>0.89142091152815017</v>
      </c>
      <c r="AJ18" s="134">
        <v>0.9087007413187671</v>
      </c>
      <c r="AK18" s="137">
        <f>SUM(AK10:AK17)</f>
        <v>5438</v>
      </c>
      <c r="AL18" s="138">
        <f>SUM(AL10:AL17)</f>
        <v>2766</v>
      </c>
      <c r="AM18" s="139">
        <f t="shared" si="9"/>
        <v>0.50864288341301944</v>
      </c>
      <c r="AN18" s="139">
        <v>0.47396882621143038</v>
      </c>
      <c r="AO18" s="138">
        <f>SUM(AO10:AO17)</f>
        <v>2672</v>
      </c>
      <c r="AP18" s="138">
        <f>SUM(AP10:AP17)</f>
        <v>844</v>
      </c>
      <c r="AQ18" s="139">
        <f t="shared" si="10"/>
        <v>0.31586826347305391</v>
      </c>
      <c r="AR18" s="306">
        <v>0.25297319088893366</v>
      </c>
      <c r="AS18" s="324">
        <f>SUM(AS10:AS17)</f>
        <v>1395</v>
      </c>
      <c r="AT18" s="143">
        <f>SUM(AT10:AT17)</f>
        <v>634</v>
      </c>
      <c r="AU18" s="309">
        <f t="shared" si="11"/>
        <v>0.45448028673835128</v>
      </c>
      <c r="AV18" s="320">
        <v>0.42074198988195616</v>
      </c>
      <c r="AW18" s="441">
        <f t="shared" ref="AW18:AX18" si="15">SUM(AW10:AW17)</f>
        <v>2065</v>
      </c>
      <c r="AX18" s="442" t="e">
        <f t="shared" si="15"/>
        <v>#REF!</v>
      </c>
      <c r="AY18" s="144">
        <f>SUM(AY10:AY17)</f>
        <v>982</v>
      </c>
      <c r="AZ18" s="144">
        <f>SUM(AZ10:AZ17)</f>
        <v>50</v>
      </c>
      <c r="BA18" s="315">
        <f t="shared" si="3"/>
        <v>5.0916496945010187E-2</v>
      </c>
      <c r="BB18" s="353">
        <v>0.26954492415402564</v>
      </c>
    </row>
    <row r="19" spans="3:54">
      <c r="C19" s="77" t="s">
        <v>149</v>
      </c>
      <c r="D19" s="78" t="s">
        <v>56</v>
      </c>
      <c r="E19" s="449">
        <f>IF(COUNTIFS(Table2[OrgID],D19,Table2[Rel_D],Details!$D$61) =0,"-",SUMIFS(Table2[All currently registered regular patients aged 18+],Table2[OrgID],D19,Table2[Rel_D],Details!$D$61))</f>
        <v>12435</v>
      </c>
      <c r="F19" s="431" t="e">
        <f>SUMIFS(#REF!,#REF!,C19,#REF!,Details!$D$61)</f>
        <v>#REF!</v>
      </c>
      <c r="G19" s="121">
        <f>IF(COUNTIFS(Table2[OrgID],D19,Table2[Rel_D],Details!$D$61) =0,"-",SUMIFS(Table2[A. Patients on the diabetes register],Table2[OrgID],D19,Table2[Rel_D],Details!$D$61))</f>
        <v>705</v>
      </c>
      <c r="H19" s="122">
        <f>IF(COUNTIFS(Table2[OrgID],D19,Table2[Rel_D],Details!$D$61) =0,"-",SUMIFS(Table2[Type 2 diabetics],Table2[OrgID],D19,Table2[Rel_D],Details!$D$61))</f>
        <v>652</v>
      </c>
      <c r="I19" s="122">
        <f>IF(COUNTIFS(Table2[OrgID],D19,Table2[Rel_D],Details!$D$61) =0,"-",SUMIFS(Table2[1 Diabetes review recorded or proxy 12m],Table2[OrgID],$D19,Table2[Rel_D],$D$61))</f>
        <v>441</v>
      </c>
      <c r="J19" s="234">
        <f t="shared" si="0"/>
        <v>0.67638036809815949</v>
      </c>
      <c r="K19" s="240">
        <v>0.41798107255520506</v>
      </c>
      <c r="L19" s="231">
        <f>IF(COUNTIFS(Table2[OrgID],D19,Table2[Rel_D],Details!$D$61) =0,"-",SUMIFS(Table2[Eligible for triple target],Table2[OrgID],$D19,Table2[Rel_D],$D$61))</f>
        <v>316</v>
      </c>
      <c r="M19" s="122">
        <f>IF(COUNTIFS(Table2[OrgID],D19,Table2[Rel_D],Details!$D$61) =0,"-",SUMIFS(Table2[3 Triple target achieved],Table2[OrgID],$D19,Table2[Rel_D],$D$61))</f>
        <v>39</v>
      </c>
      <c r="N19" s="234">
        <f t="shared" si="4"/>
        <v>0.12341772151898735</v>
      </c>
      <c r="O19" s="291">
        <v>0</v>
      </c>
      <c r="P19" s="121">
        <f>IF(COUNTIFS(Table2[OrgID],D19,Table2[Rel_D],Details!$D$61) =0,"-",SUMIFS(Table2[B. Patients on the COPD register],Table2[OrgID],$D19,Table2[Rel_D],$D$61))</f>
        <v>161</v>
      </c>
      <c r="Q19" s="231">
        <f>IF(COUNTIFS(Table2[OrgID],D19,Table2[Rel_D],Details!$D$61) =0,"-",SUMIFS(Table2[4 COPD review coded or proxy (MRC) 12m],Table2[OrgID],$D19,Table2[Rel_D],$D$61))</f>
        <v>140</v>
      </c>
      <c r="R19" s="123">
        <f t="shared" si="5"/>
        <v>0.86956521739130432</v>
      </c>
      <c r="S19" s="240">
        <v>0.52830188679245282</v>
      </c>
      <c r="T19" s="122">
        <f>IF(COUNTIFS(Table2[OrgID],D19,Table2[Rel_D],Details!$D$61) =0,"-",SUMIFS(Table2[6 CAT Score &amp; MRC scale recorded],Table2[OrgID],$D19,Table2[Rel_D],$D$61))</f>
        <v>106</v>
      </c>
      <c r="U19" s="125">
        <f t="shared" si="6"/>
        <v>0.75714285714285712</v>
      </c>
      <c r="V19" s="240">
        <v>0.58333333333333337</v>
      </c>
      <c r="W19" s="122">
        <f>IF(COUNTIFS(Table2[OrgID],D19,Table2[Rel_D],Details!$D$61) =0,"-",SUMIFS(Table2[7 COPD action plan recorded 12m],Table2[OrgID],$D19,Table2[Rel_D],$D$61))</f>
        <v>117</v>
      </c>
      <c r="X19" s="234">
        <f t="shared" si="1"/>
        <v>0.83571428571428574</v>
      </c>
      <c r="Y19" s="248">
        <v>0.65277777777777779</v>
      </c>
      <c r="Z19" s="431">
        <f>IF(COUNTIFS(Table2[OrgID],D19,Table2[Rel_D],Details!$D$61) =0,"-",SUMIFS(Table2[C. Patients on the asthma register],Table2[OrgID],$D19,Table2[Rel_D],$D$61))</f>
        <v>756</v>
      </c>
      <c r="AA19" s="432" t="e">
        <f>SUMIFS(#REF!,#REF!,$D19,#REF!,$D$61)</f>
        <v>#REF!</v>
      </c>
      <c r="AB19" s="12">
        <f>IF(COUNTIFS(Table2[OrgID],D19,Table2[Rel_D],Details!$D$61) =0,"-",SUMIFS(Table2[8 Asthma review coded or proxy (inhaler technique) 12m],Table2[OrgID],$D19,Table2[Rel_D],$D$61))</f>
        <v>482</v>
      </c>
      <c r="AC19" s="93">
        <f t="shared" si="7"/>
        <v>0.63756613756613756</v>
      </c>
      <c r="AD19" s="259">
        <v>0.67909454061251662</v>
      </c>
      <c r="AE19" s="192">
        <f>IF(COUNTIFS(Table2[OrgID],D19,Table2[Rel_D],Details!$D$61) =0,"-",SUMIFS(Table2[10 Asthma Action Plan recorded 12m],Table2[OrgID],$D19,Table2[Rel_D],$D$61))</f>
        <v>455</v>
      </c>
      <c r="AF19" s="93">
        <f t="shared" si="8"/>
        <v>0.94398340248962653</v>
      </c>
      <c r="AG19" s="259">
        <v>0.93137254901960786</v>
      </c>
      <c r="AH19" s="12">
        <f>IF(COUNTIFS(Table2[OrgID],D19,Table2[Rel_D],Details!$D$61) =0,"-",SUMIFS(Table2[11 ACT recorded],Table2[OrgID],$D19,Table2[Rel_D],$D$61))</f>
        <v>476</v>
      </c>
      <c r="AI19" s="293">
        <f t="shared" si="2"/>
        <v>0.98755186721991706</v>
      </c>
      <c r="AJ19" s="299">
        <v>0.92941176470588238</v>
      </c>
      <c r="AK19" s="193">
        <f>IF(COUNTIFS(Table2[OrgID],D19,Table2[Rel_D],Details!$D$61) =0,"-",SUMIFS(Table2[D. Patients on the hypertension register],Table2[OrgID],$D19,Table2[Rel_D],$D$61))</f>
        <v>1975</v>
      </c>
      <c r="AL19" s="194">
        <f>IF(COUNTIFS(Table2[OrgID],D19,Table2[Rel_D],Details!$D$61) =0,"-",SUMIFS(Table2[15 On target],Table2[OrgID],$D19,Table2[Rel_D],$D$61))</f>
        <v>511</v>
      </c>
      <c r="AM19" s="84">
        <f t="shared" si="9"/>
        <v>0.25873417721518988</v>
      </c>
      <c r="AN19" s="337">
        <v>0.10485933503836317</v>
      </c>
      <c r="AO19" s="194">
        <f>IF(COUNTIFS(Table2[OrgID],D19,Table2[Rel_D],Details!$D$61) =0,"-",SUMIFS(Table2[Off target],Table2[OrgID],$D19,Table2[Rel_D],$D$61))</f>
        <v>1464</v>
      </c>
      <c r="AP19" s="194">
        <f>IFERROR(IF(COUNTIFS(Table2[OrgID],D19,Table2[Rel_D],Details!$D$61) =0,"-",SUMIFS(Table2[12 Off target, with clinical review (2)],Table2[OrgID],$D19,Table2[Rel_D],$D$61)),"-")</f>
        <v>920</v>
      </c>
      <c r="AQ19" s="84">
        <f t="shared" si="10"/>
        <v>0.62841530054644812</v>
      </c>
      <c r="AR19" s="342">
        <v>0.56228571428571428</v>
      </c>
      <c r="AS19" s="325">
        <f>IF(COUNTIFS(Table2[OrgID],D19,Table2[Rel_D],Details!$D$61) =0,"-",SUMIFS(Table2[E. Patients on the CHD or Stroke/TIA or PAD register],Table2[OrgID],$D19,Table2[Rel_D],$D$61))</f>
        <v>545</v>
      </c>
      <c r="AT19" s="195">
        <f>IF(COUNTIFS(Table2[OrgID],D19,Table2[Rel_D],Details!$D$61) =0,"-",SUMIFS(Table2[13 Secondary prevention statins prescribed or offered in last 12m],Table2[OrgID],$D19,Table2[Rel_D],$D$61))</f>
        <v>283</v>
      </c>
      <c r="AU19" s="84">
        <f t="shared" si="11"/>
        <v>0.51926605504587153</v>
      </c>
      <c r="AV19" s="347">
        <v>0.49635036496350365</v>
      </c>
      <c r="AW19" s="431">
        <f>IF(COUNTIFS(Table2[OrgID],D19,Table2[Rel_D],Details!$D$61) =0,"-",SUMIFS(Table2[F. Patients on anticoagulants or antiplatelets 6m],Table2[OrgID],Details!D19,Table2[Rel_D],Details!$D$61))</f>
        <v>820</v>
      </c>
      <c r="AX19" s="432" t="e">
        <f>SUMIFS(#REF!,#REF!,Details!#REF!,#REF!,Details!$D$61)</f>
        <v>#REF!</v>
      </c>
      <c r="AY19" s="12">
        <f>IF(COUNTIFS(Table2[OrgID],D19,Table2[Rel_D],Details!$D$61) =0,"-",SUMIFS(Table2[Not on PPI 6m],Table2[OrgID],$D19,Table2[Rel_D],$D$61))</f>
        <v>430</v>
      </c>
      <c r="AZ19" s="12">
        <f>IF(COUNTIFS(Table2[OrgID],D19,Table2[Rel_D],Details!$D$61) =0,"-",SUMIFS(Table2[14 Not on PPI, reviewed],Table2[OrgID],$D19,Table2[Rel_D],$D$61))</f>
        <v>2</v>
      </c>
      <c r="BA19" s="84">
        <f t="shared" si="3"/>
        <v>4.6511627906976744E-3</v>
      </c>
      <c r="BB19" s="358">
        <v>1</v>
      </c>
    </row>
    <row r="20" spans="3:54">
      <c r="C20" s="73" t="s">
        <v>150</v>
      </c>
      <c r="D20" s="74" t="s">
        <v>69</v>
      </c>
      <c r="E20" s="450">
        <f>SUMIFS(Table2[All currently registered regular patients aged 18+],Table2[OrgID],D20,Table2[Rel_D],Details!$D$61)</f>
        <v>7143</v>
      </c>
      <c r="F20" s="433" t="e">
        <f>SUMIFS(#REF!,#REF!,C20,#REF!,Details!$D$61)</f>
        <v>#REF!</v>
      </c>
      <c r="G20" s="115">
        <f>SUMIFS(Table2[A. Patients on the diabetes register],Table2[OrgID],D20,Table2[Rel_D],Details!$D$61)</f>
        <v>501</v>
      </c>
      <c r="H20" s="116">
        <f>SUMIFS(Table2[Type 2 diabetics],Table2[OrgID],D20,Table2[Rel_D],Details!$D$61)</f>
        <v>469</v>
      </c>
      <c r="I20" s="116">
        <f>SUMIFS(Table2[1 Diabetes review recorded or proxy 12m],Table2[OrgID],$D20,Table2[Rel_D],$D$61)</f>
        <v>357</v>
      </c>
      <c r="J20" s="234">
        <f t="shared" si="0"/>
        <v>0.76119402985074625</v>
      </c>
      <c r="K20" s="241">
        <v>0.64365256124721604</v>
      </c>
      <c r="L20" s="229">
        <f>SUMIFS(Table2[Eligible for triple target],Table2[OrgID],$D20,Table2[Rel_D],$D$61)</f>
        <v>142</v>
      </c>
      <c r="M20" s="116">
        <f>SUMIFS(Table2[3 Triple target achieved],Table2[OrgID],$D20,Table2[Rel_D],$D$61)</f>
        <v>13</v>
      </c>
      <c r="N20" s="234">
        <f t="shared" si="4"/>
        <v>9.154929577464789E-2</v>
      </c>
      <c r="O20" s="287">
        <v>8.2840236686390539E-2</v>
      </c>
      <c r="P20" s="115">
        <f>SUMIFS(Table2[B. Patients on the COPD register],Table2[OrgID],$D20,Table2[Rel_D],$D$61)</f>
        <v>113</v>
      </c>
      <c r="Q20" s="229">
        <f>SUMIFS(Table2[4 COPD review coded or proxy (MRC) 12m],Table2[OrgID],$D20,Table2[Rel_D],$D$61)</f>
        <v>93</v>
      </c>
      <c r="R20" s="123">
        <f t="shared" si="5"/>
        <v>0.82300884955752207</v>
      </c>
      <c r="S20" s="241">
        <v>0.94782608695652171</v>
      </c>
      <c r="T20" s="116">
        <f>SUMIFS(Table2[6 CAT Score &amp; MRC scale recorded],Table2[OrgID],$D20,Table2[Rel_D],$D$61)</f>
        <v>52</v>
      </c>
      <c r="U20" s="123">
        <f t="shared" si="6"/>
        <v>0.55913978494623651</v>
      </c>
      <c r="V20" s="241">
        <v>0.39449541284403672</v>
      </c>
      <c r="W20" s="116">
        <f>SUMIFS(Table2[7 COPD action plan recorded 12m],Table2[OrgID],$D20,Table2[Rel_D],$D$61)</f>
        <v>28</v>
      </c>
      <c r="X20" s="234">
        <f t="shared" si="1"/>
        <v>0.30107526881720431</v>
      </c>
      <c r="Y20" s="249">
        <v>0.44036697247706424</v>
      </c>
      <c r="Z20" s="433">
        <f>SUMIFS(Table2[C. Patients on the asthma register],Table2[OrgID],$D20,Table2[Rel_D],$D$61)</f>
        <v>453</v>
      </c>
      <c r="AA20" s="434" t="e">
        <f>SUMIFS(#REF!,#REF!,$D20,#REF!,$D$61)</f>
        <v>#REF!</v>
      </c>
      <c r="AB20" s="2">
        <f>SUMIFS(Table2[8 Asthma review coded or proxy (inhaler technique) 12m],Table2[OrgID],$D20,Table2[Rel_D],$D$61)</f>
        <v>331</v>
      </c>
      <c r="AC20" s="93">
        <f t="shared" si="7"/>
        <v>0.73068432671081673</v>
      </c>
      <c r="AD20" s="260">
        <v>0.7767857142857143</v>
      </c>
      <c r="AE20" s="94">
        <f>SUMIFS(Table2[10 Asthma Action Plan recorded 12m],Table2[OrgID],$D20,Table2[Rel_D],$D$61)</f>
        <v>325</v>
      </c>
      <c r="AF20" s="93">
        <f t="shared" si="8"/>
        <v>0.98187311178247738</v>
      </c>
      <c r="AG20" s="260">
        <v>0.89367816091954022</v>
      </c>
      <c r="AH20" s="69">
        <f>SUMIFS(Table2[11 ACT recorded],Table2[OrgID],$D20,Table2[Rel_D],$D$61)</f>
        <v>323</v>
      </c>
      <c r="AI20" s="293">
        <f t="shared" si="2"/>
        <v>0.97583081570996977</v>
      </c>
      <c r="AJ20" s="300">
        <v>0.35632183908045978</v>
      </c>
      <c r="AK20" s="105">
        <f>SUMIFS(Table2[D. Patients on the hypertension register],Table2[OrgID],$D20,Table2[Rel_D],$D$61)</f>
        <v>1327</v>
      </c>
      <c r="AL20" s="83">
        <f>SUMIFS(Table2[15 On target],Table2[OrgID],$D20,Table2[Rel_D],$D$61)</f>
        <v>808</v>
      </c>
      <c r="AM20" s="84">
        <f t="shared" si="9"/>
        <v>0.60889223813112281</v>
      </c>
      <c r="AN20" s="334">
        <v>0.36280991735537188</v>
      </c>
      <c r="AO20" s="83">
        <f>SUMIFS(Table2[Off target],Table2[OrgID],$D20,Table2[Rel_D],$D$61)</f>
        <v>519</v>
      </c>
      <c r="AP20" s="83">
        <f>SUMIFS(Table2[12 Off target, with clinical review (2)],Table2[OrgID],$D20,Table2[Rel_D],$D$61)</f>
        <v>285</v>
      </c>
      <c r="AQ20" s="84">
        <f t="shared" si="10"/>
        <v>0.54913294797687862</v>
      </c>
      <c r="AR20" s="340">
        <v>0.11024643320363164</v>
      </c>
      <c r="AS20" s="322">
        <f>SUMIFS(Table2[E. Patients on the CHD or Stroke/TIA or PAD register],Table2[OrgID],$D20,Table2[Rel_D],$D$61)</f>
        <v>323</v>
      </c>
      <c r="AT20" s="100">
        <f>SUMIFS(Table2[13 Secondary prevention statins prescribed or offered in last 12m],Table2[OrgID],$D20,Table2[Rel_D],$D$61)</f>
        <v>160</v>
      </c>
      <c r="AU20" s="84">
        <f t="shared" si="11"/>
        <v>0.49535603715170279</v>
      </c>
      <c r="AV20" s="345">
        <v>0.45874587458745875</v>
      </c>
      <c r="AW20" s="433">
        <f>SUMIFS(Table2[F. Patients on anticoagulants or antiplatelets 6m],Table2[OrgID],Details!D20,Table2[Rel_D],Details!$D$61)</f>
        <v>519</v>
      </c>
      <c r="AX20" s="434" t="e">
        <f>SUMIFS(#REF!,#REF!,Details!#REF!,#REF!,Details!$D$61)</f>
        <v>#REF!</v>
      </c>
      <c r="AY20" s="2">
        <f>SUMIFS(Table2[Not on PPI 6m],Table2[OrgID],$D20,Table2[Rel_D],$D$61)</f>
        <v>172</v>
      </c>
      <c r="AZ20" s="69">
        <f>SUMIFS(Table2[14 Not on PPI, reviewed],Table2[OrgID],$D20,Table2[Rel_D],$D$61)</f>
        <v>16</v>
      </c>
      <c r="BA20" s="84">
        <f t="shared" si="3"/>
        <v>9.3023255813953487E-2</v>
      </c>
      <c r="BB20" s="356">
        <v>2.4630541871921183E-2</v>
      </c>
    </row>
    <row r="21" spans="3:54">
      <c r="C21" s="73" t="s">
        <v>151</v>
      </c>
      <c r="D21" s="74" t="s">
        <v>70</v>
      </c>
      <c r="E21" s="450">
        <f>SUMIFS(Table2[All currently registered regular patients aged 18+],Table2[OrgID],D21,Table2[Rel_D],Details!$D$61)</f>
        <v>10588</v>
      </c>
      <c r="F21" s="433" t="e">
        <f>SUMIFS(#REF!,#REF!,C21,#REF!,Details!$D$61)</f>
        <v>#REF!</v>
      </c>
      <c r="G21" s="115">
        <f>SUMIFS(Table2[A. Patients on the diabetes register],Table2[OrgID],D21,Table2[Rel_D],Details!$D$61)</f>
        <v>818</v>
      </c>
      <c r="H21" s="116">
        <f>SUMIFS(Table2[Type 2 diabetics],Table2[OrgID],D21,Table2[Rel_D],Details!$D$61)</f>
        <v>768</v>
      </c>
      <c r="I21" s="116">
        <f>SUMIFS(Table2[1 Diabetes review recorded or proxy 12m],Table2[OrgID],$D21,Table2[Rel_D],$D$61)</f>
        <v>497</v>
      </c>
      <c r="J21" s="234">
        <f t="shared" si="0"/>
        <v>0.64713541666666663</v>
      </c>
      <c r="K21" s="241">
        <v>0.49009247027741082</v>
      </c>
      <c r="L21" s="229">
        <f>SUMIFS(Table2[Eligible for triple target],Table2[OrgID],$D21,Table2[Rel_D],$D$61)</f>
        <v>222</v>
      </c>
      <c r="M21" s="116">
        <f>SUMIFS(Table2[3 Triple target achieved],Table2[OrgID],$D21,Table2[Rel_D],$D$61)</f>
        <v>24</v>
      </c>
      <c r="N21" s="234">
        <f t="shared" si="4"/>
        <v>0.10810810810810811</v>
      </c>
      <c r="O21" s="287">
        <v>6.4393939393939392E-2</v>
      </c>
      <c r="P21" s="115">
        <f>SUMIFS(Table2[B. Patients on the COPD register],Table2[OrgID],$D21,Table2[Rel_D],$D$61)</f>
        <v>223</v>
      </c>
      <c r="Q21" s="229">
        <f>SUMIFS(Table2[4 COPD review coded or proxy (MRC) 12m],Table2[OrgID],$D21,Table2[Rel_D],$D$61)</f>
        <v>190</v>
      </c>
      <c r="R21" s="123">
        <f t="shared" si="5"/>
        <v>0.85201793721973096</v>
      </c>
      <c r="S21" s="241">
        <v>0.83116883116883122</v>
      </c>
      <c r="T21" s="116">
        <f>SUMIFS(Table2[6 CAT Score &amp; MRC scale recorded],Table2[OrgID],$D21,Table2[Rel_D],$D$61)</f>
        <v>137</v>
      </c>
      <c r="U21" s="123">
        <f t="shared" si="6"/>
        <v>0.72105263157894739</v>
      </c>
      <c r="V21" s="241">
        <v>0.83333333333333337</v>
      </c>
      <c r="W21" s="116">
        <f>SUMIFS(Table2[7 COPD action plan recorded 12m],Table2[OrgID],$D21,Table2[Rel_D],$D$61)</f>
        <v>72</v>
      </c>
      <c r="X21" s="234">
        <f t="shared" si="1"/>
        <v>0.37894736842105264</v>
      </c>
      <c r="Y21" s="249">
        <v>0.48958333333333331</v>
      </c>
      <c r="Z21" s="433">
        <f>SUMIFS(Table2[C. Patients on the asthma register],Table2[OrgID],$D21,Table2[Rel_D],$D$61)</f>
        <v>714</v>
      </c>
      <c r="AA21" s="434" t="e">
        <f>SUMIFS(#REF!,#REF!,$D21,#REF!,$D$61)</f>
        <v>#REF!</v>
      </c>
      <c r="AB21" s="2">
        <f>SUMIFS(Table2[8 Asthma review coded or proxy (inhaler technique) 12m],Table2[OrgID],$D21,Table2[Rel_D],$D$61)</f>
        <v>537</v>
      </c>
      <c r="AC21" s="93">
        <f t="shared" si="7"/>
        <v>0.75210084033613445</v>
      </c>
      <c r="AD21" s="260">
        <v>0.55737704918032782</v>
      </c>
      <c r="AE21" s="94">
        <f>SUMIFS(Table2[10 Asthma Action Plan recorded 12m],Table2[OrgID],$D21,Table2[Rel_D],$D$61)</f>
        <v>521</v>
      </c>
      <c r="AF21" s="93">
        <f t="shared" si="8"/>
        <v>0.97020484171322163</v>
      </c>
      <c r="AG21" s="260">
        <v>0.94607843137254899</v>
      </c>
      <c r="AH21" s="69">
        <f>SUMIFS(Table2[11 ACT recorded],Table2[OrgID],$D21,Table2[Rel_D],$D$61)</f>
        <v>529</v>
      </c>
      <c r="AI21" s="293">
        <f t="shared" si="2"/>
        <v>0.98510242085661082</v>
      </c>
      <c r="AJ21" s="300">
        <v>0.83578431372549022</v>
      </c>
      <c r="AK21" s="105">
        <f>SUMIFS(Table2[D. Patients on the hypertension register],Table2[OrgID],$D21,Table2[Rel_D],$D$61)</f>
        <v>1831</v>
      </c>
      <c r="AL21" s="83">
        <f>SUMIFS(Table2[15 On target],Table2[OrgID],$D21,Table2[Rel_D],$D$61)</f>
        <v>1046</v>
      </c>
      <c r="AM21" s="84">
        <f t="shared" si="9"/>
        <v>0.57127252867285638</v>
      </c>
      <c r="AN21" s="334">
        <v>0.3902439024390244</v>
      </c>
      <c r="AO21" s="83">
        <f>SUMIFS(Table2[Off target],Table2[OrgID],$D21,Table2[Rel_D],$D$61)</f>
        <v>785</v>
      </c>
      <c r="AP21" s="83">
        <f>SUMIFS(Table2[12 Off target, with clinical review (2)],Table2[OrgID],$D21,Table2[Rel_D],$D$61)</f>
        <v>348</v>
      </c>
      <c r="AQ21" s="84">
        <f t="shared" si="10"/>
        <v>0.44331210191082804</v>
      </c>
      <c r="AR21" s="340">
        <v>0.1351111111111111</v>
      </c>
      <c r="AS21" s="322">
        <f>SUMIFS(Table2[E. Patients on the CHD or Stroke/TIA or PAD register],Table2[OrgID],$D21,Table2[Rel_D],$D$61)</f>
        <v>577</v>
      </c>
      <c r="AT21" s="100">
        <f>SUMIFS(Table2[13 Secondary prevention statins prescribed or offered in last 12m],Table2[OrgID],$D21,Table2[Rel_D],$D$61)</f>
        <v>257</v>
      </c>
      <c r="AU21" s="84">
        <f t="shared" si="11"/>
        <v>0.44540727902946275</v>
      </c>
      <c r="AV21" s="345">
        <v>0.42574257425742573</v>
      </c>
      <c r="AW21" s="433">
        <f>SUMIFS(Table2[F. Patients on anticoagulants or antiplatelets 6m],Table2[OrgID],Details!D21,Table2[Rel_D],Details!$D$61)</f>
        <v>825</v>
      </c>
      <c r="AX21" s="434" t="e">
        <f>SUMIFS(#REF!,#REF!,Details!#REF!,#REF!,Details!$D$61)</f>
        <v>#REF!</v>
      </c>
      <c r="AY21" s="2">
        <f>SUMIFS(Table2[Not on PPI 6m],Table2[OrgID],$D21,Table2[Rel_D],$D$61)</f>
        <v>373</v>
      </c>
      <c r="AZ21" s="69">
        <f>SUMIFS(Table2[14 Not on PPI, reviewed],Table2[OrgID],$D21,Table2[Rel_D],$D$61)</f>
        <v>94</v>
      </c>
      <c r="BA21" s="84">
        <f t="shared" si="3"/>
        <v>0.25201072386058981</v>
      </c>
      <c r="BB21" s="356">
        <v>0.20408163265306123</v>
      </c>
    </row>
    <row r="22" spans="3:54">
      <c r="C22" s="73" t="s">
        <v>152</v>
      </c>
      <c r="D22" s="74" t="s">
        <v>71</v>
      </c>
      <c r="E22" s="450">
        <f>SUMIFS(Table2[All currently registered regular patients aged 18+],Table2[OrgID],D22,Table2[Rel_D],Details!$D$61)</f>
        <v>5687</v>
      </c>
      <c r="F22" s="433" t="e">
        <f>SUMIFS(#REF!,#REF!,C22,#REF!,Details!$D$61)</f>
        <v>#REF!</v>
      </c>
      <c r="G22" s="115">
        <f>SUMIFS(Table2[A. Patients on the diabetes register],Table2[OrgID],D22,Table2[Rel_D],Details!$D$61)</f>
        <v>341</v>
      </c>
      <c r="H22" s="116">
        <f>SUMIFS(Table2[Type 2 diabetics],Table2[OrgID],D22,Table2[Rel_D],Details!$D$61)</f>
        <v>315</v>
      </c>
      <c r="I22" s="116">
        <f>SUMIFS(Table2[1 Diabetes review recorded or proxy 12m],Table2[OrgID],$D22,Table2[Rel_D],$D$61)</f>
        <v>157</v>
      </c>
      <c r="J22" s="234">
        <f t="shared" si="0"/>
        <v>0.49841269841269842</v>
      </c>
      <c r="K22" s="241">
        <v>0.46855345911949686</v>
      </c>
      <c r="L22" s="229">
        <f>SUMIFS(Table2[Eligible for triple target],Table2[OrgID],$D22,Table2[Rel_D],$D$61)</f>
        <v>141</v>
      </c>
      <c r="M22" s="116">
        <f>SUMIFS(Table2[3 Triple target achieved],Table2[OrgID],$D22,Table2[Rel_D],$D$61)</f>
        <v>12</v>
      </c>
      <c r="N22" s="234">
        <f t="shared" si="4"/>
        <v>8.5106382978723402E-2</v>
      </c>
      <c r="O22" s="287">
        <v>9.3896713615023469E-2</v>
      </c>
      <c r="P22" s="115">
        <f>SUMIFS(Table2[B. Patients on the COPD register],Table2[OrgID],$D22,Table2[Rel_D],$D$61)</f>
        <v>74</v>
      </c>
      <c r="Q22" s="229">
        <f>SUMIFS(Table2[4 COPD review coded or proxy (MRC) 12m],Table2[OrgID],$D22,Table2[Rel_D],$D$61)</f>
        <v>34</v>
      </c>
      <c r="R22" s="123">
        <f t="shared" si="5"/>
        <v>0.45945945945945948</v>
      </c>
      <c r="S22" s="241">
        <v>0.48648648648648651</v>
      </c>
      <c r="T22" s="116">
        <f>SUMIFS(Table2[6 CAT Score &amp; MRC scale recorded],Table2[OrgID],$D22,Table2[Rel_D],$D$61)</f>
        <v>27</v>
      </c>
      <c r="U22" s="123">
        <f t="shared" si="6"/>
        <v>0.79411764705882348</v>
      </c>
      <c r="V22" s="241">
        <v>0.75</v>
      </c>
      <c r="W22" s="116">
        <f>SUMIFS(Table2[7 COPD action plan recorded 12m],Table2[OrgID],$D22,Table2[Rel_D],$D$61)</f>
        <v>2</v>
      </c>
      <c r="X22" s="234">
        <f t="shared" si="1"/>
        <v>5.8823529411764705E-2</v>
      </c>
      <c r="Y22" s="249">
        <v>0.19444444444444445</v>
      </c>
      <c r="Z22" s="433">
        <f>SUMIFS(Table2[C. Patients on the asthma register],Table2[OrgID],$D22,Table2[Rel_D],$D$61)</f>
        <v>326</v>
      </c>
      <c r="AA22" s="434" t="e">
        <f>SUMIFS(#REF!,#REF!,$D22,#REF!,$D$61)</f>
        <v>#REF!</v>
      </c>
      <c r="AB22" s="2">
        <f>SUMIFS(Table2[8 Asthma review coded or proxy (inhaler technique) 12m],Table2[OrgID],$D22,Table2[Rel_D],$D$61)</f>
        <v>201</v>
      </c>
      <c r="AC22" s="93">
        <f t="shared" si="7"/>
        <v>0.6165644171779141</v>
      </c>
      <c r="AD22" s="260">
        <v>0.74545454545454548</v>
      </c>
      <c r="AE22" s="94">
        <f>SUMIFS(Table2[10 Asthma Action Plan recorded 12m],Table2[OrgID],$D22,Table2[Rel_D],$D$61)</f>
        <v>200</v>
      </c>
      <c r="AF22" s="93">
        <f t="shared" si="8"/>
        <v>0.99502487562189057</v>
      </c>
      <c r="AG22" s="260">
        <v>0.61788617886178865</v>
      </c>
      <c r="AH22" s="69">
        <f>SUMIFS(Table2[11 ACT recorded],Table2[OrgID],$D22,Table2[Rel_D],$D$61)</f>
        <v>200</v>
      </c>
      <c r="AI22" s="293">
        <f t="shared" si="2"/>
        <v>0.99502487562189057</v>
      </c>
      <c r="AJ22" s="300">
        <v>0.4065040650406504</v>
      </c>
      <c r="AK22" s="105">
        <f>SUMIFS(Table2[D. Patients on the hypertension register],Table2[OrgID],$D22,Table2[Rel_D],$D$61)</f>
        <v>1077</v>
      </c>
      <c r="AL22" s="83">
        <f>SUMIFS(Table2[15 On target],Table2[OrgID],$D22,Table2[Rel_D],$D$61)</f>
        <v>452</v>
      </c>
      <c r="AM22" s="84">
        <f t="shared" si="9"/>
        <v>0.41968430826369546</v>
      </c>
      <c r="AN22" s="334">
        <v>0.34873188405797101</v>
      </c>
      <c r="AO22" s="83">
        <f>SUMIFS(Table2[Off target],Table2[OrgID],$D22,Table2[Rel_D],$D$61)</f>
        <v>625</v>
      </c>
      <c r="AP22" s="83">
        <f>SUMIFS(Table2[12 Off target, with clinical review (2)],Table2[OrgID],$D22,Table2[Rel_D],$D$61)</f>
        <v>64</v>
      </c>
      <c r="AQ22" s="84">
        <f t="shared" si="10"/>
        <v>0.1024</v>
      </c>
      <c r="AR22" s="340">
        <v>4.1724617524339362E-2</v>
      </c>
      <c r="AS22" s="322">
        <f>SUMIFS(Table2[E. Patients on the CHD or Stroke/TIA or PAD register],Table2[OrgID],$D22,Table2[Rel_D],$D$61)</f>
        <v>287</v>
      </c>
      <c r="AT22" s="100">
        <f>SUMIFS(Table2[13 Secondary prevention statins prescribed or offered in last 12m],Table2[OrgID],$D22,Table2[Rel_D],$D$61)</f>
        <v>128</v>
      </c>
      <c r="AU22" s="84">
        <f t="shared" si="11"/>
        <v>0.44599303135888502</v>
      </c>
      <c r="AV22" s="345">
        <v>0.43309859154929575</v>
      </c>
      <c r="AW22" s="433">
        <f>SUMIFS(Table2[F. Patients on anticoagulants or antiplatelets 6m],Table2[OrgID],Details!D22,Table2[Rel_D],Details!$D$61)</f>
        <v>488</v>
      </c>
      <c r="AX22" s="434" t="e">
        <f>SUMIFS(#REF!,#REF!,Details!#REF!,#REF!,Details!$D$61)</f>
        <v>#REF!</v>
      </c>
      <c r="AY22" s="2">
        <f>SUMIFS(Table2[Not on PPI 6m],Table2[OrgID],$D22,Table2[Rel_D],$D$61)</f>
        <v>291</v>
      </c>
      <c r="AZ22" s="69">
        <f>SUMIFS(Table2[14 Not on PPI, reviewed],Table2[OrgID],$D22,Table2[Rel_D],$D$61)</f>
        <v>10</v>
      </c>
      <c r="BA22" s="84">
        <f t="shared" si="3"/>
        <v>3.4364261168384883E-2</v>
      </c>
      <c r="BB22" s="356">
        <v>6.4516129032258063E-2</v>
      </c>
    </row>
    <row r="23" spans="3:54" ht="15.75" thickBot="1">
      <c r="C23" s="75" t="s">
        <v>153</v>
      </c>
      <c r="D23" s="76" t="s">
        <v>72</v>
      </c>
      <c r="E23" s="455">
        <f>SUMIFS(Table2[All currently registered regular patients aged 18+],Table2[OrgID],D23,Table2[Rel_D],Details!$D$61)</f>
        <v>6045</v>
      </c>
      <c r="F23" s="435" t="e">
        <f>SUMIFS(#REF!,#REF!,C23,#REF!,Details!$D$61)</f>
        <v>#REF!</v>
      </c>
      <c r="G23" s="117">
        <f>SUMIFS(Table2[A. Patients on the diabetes register],Table2[OrgID],D23,Table2[Rel_D],Details!$D$61)</f>
        <v>380</v>
      </c>
      <c r="H23" s="118">
        <f>SUMIFS(Table2[Type 2 diabetics],Table2[OrgID],D23,Table2[Rel_D],Details!$D$61)</f>
        <v>354</v>
      </c>
      <c r="I23" s="118">
        <f>SUMIFS(Table2[1 Diabetes review recorded or proxy 12m],Table2[OrgID],$D23,Table2[Rel_D],$D$61)</f>
        <v>319</v>
      </c>
      <c r="J23" s="236">
        <f t="shared" si="0"/>
        <v>0.90112994350282483</v>
      </c>
      <c r="K23" s="242">
        <v>0.85901639344262293</v>
      </c>
      <c r="L23" s="230">
        <f>SUMIFS(Table2[Eligible for triple target],Table2[OrgID],$D23,Table2[Rel_D],$D$61)</f>
        <v>125</v>
      </c>
      <c r="M23" s="118">
        <f>SUMIFS(Table2[3 Triple target achieved],Table2[OrgID],$D23,Table2[Rel_D],$D$61)</f>
        <v>34</v>
      </c>
      <c r="N23" s="236">
        <f t="shared" si="4"/>
        <v>0.27200000000000002</v>
      </c>
      <c r="O23" s="289">
        <v>0.14285714285714285</v>
      </c>
      <c r="P23" s="117">
        <f>SUMIFS(Table2[B. Patients on the COPD register],Table2[OrgID],$D23,Table2[Rel_D],$D$61)</f>
        <v>68</v>
      </c>
      <c r="Q23" s="230">
        <f>SUMIFS(Table2[4 COPD review coded or proxy (MRC) 12m],Table2[OrgID],$D23,Table2[Rel_D],$D$61)</f>
        <v>42</v>
      </c>
      <c r="R23" s="124">
        <f t="shared" si="5"/>
        <v>0.61764705882352944</v>
      </c>
      <c r="S23" s="242">
        <v>0.6470588235294118</v>
      </c>
      <c r="T23" s="118">
        <f>SUMIFS(Table2[6 CAT Score &amp; MRC scale recorded],Table2[OrgID],$D23,Table2[Rel_D],$D$61)</f>
        <v>10</v>
      </c>
      <c r="U23" s="124">
        <f t="shared" si="6"/>
        <v>0.23809523809523808</v>
      </c>
      <c r="V23" s="242">
        <v>2.2727272727272728E-2</v>
      </c>
      <c r="W23" s="118">
        <f>SUMIFS(Table2[7 COPD action plan recorded 12m],Table2[OrgID],$D23,Table2[Rel_D],$D$61)</f>
        <v>24</v>
      </c>
      <c r="X23" s="236">
        <f t="shared" si="1"/>
        <v>0.5714285714285714</v>
      </c>
      <c r="Y23" s="250">
        <v>0.81818181818181823</v>
      </c>
      <c r="Z23" s="435">
        <f>SUMIFS(Table2[C. Patients on the asthma register],Table2[OrgID],$D23,Table2[Rel_D],$D$61)</f>
        <v>405</v>
      </c>
      <c r="AA23" s="436" t="e">
        <f>SUMIFS(#REF!,#REF!,$D23,#REF!,$D$61)</f>
        <v>#REF!</v>
      </c>
      <c r="AB23" s="3">
        <f>SUMIFS(Table2[8 Asthma review coded or proxy (inhaler technique) 12m],Table2[OrgID],$D23,Table2[Rel_D],$D$61)</f>
        <v>273</v>
      </c>
      <c r="AC23" s="95">
        <f t="shared" si="7"/>
        <v>0.67407407407407405</v>
      </c>
      <c r="AD23" s="261">
        <v>0.663768115942029</v>
      </c>
      <c r="AE23" s="96">
        <f>SUMIFS(Table2[10 Asthma Action Plan recorded 12m],Table2[OrgID],$D23,Table2[Rel_D],$D$61)</f>
        <v>266</v>
      </c>
      <c r="AF23" s="95">
        <f t="shared" si="8"/>
        <v>0.97435897435897434</v>
      </c>
      <c r="AG23" s="261">
        <v>0.88646288209606983</v>
      </c>
      <c r="AH23" s="70">
        <f>SUMIFS(Table2[11 ACT recorded],Table2[OrgID],$D23,Table2[Rel_D],$D$61)</f>
        <v>264</v>
      </c>
      <c r="AI23" s="295">
        <f t="shared" si="2"/>
        <v>0.96703296703296704</v>
      </c>
      <c r="AJ23" s="301">
        <v>0.75109170305676853</v>
      </c>
      <c r="AK23" s="106">
        <f>SUMIFS(Table2[D. Patients on the hypertension register],Table2[OrgID],$D23,Table2[Rel_D],$D$61)</f>
        <v>846</v>
      </c>
      <c r="AL23" s="85">
        <f>SUMIFS(Table2[15 On target],Table2[OrgID],$D23,Table2[Rel_D],$D$61)</f>
        <v>630</v>
      </c>
      <c r="AM23" s="86">
        <f t="shared" si="9"/>
        <v>0.74468085106382975</v>
      </c>
      <c r="AN23" s="335">
        <v>0.60197775030902345</v>
      </c>
      <c r="AO23" s="85">
        <f>SUMIFS(Table2[Off target],Table2[OrgID],$D23,Table2[Rel_D],$D$61)</f>
        <v>216</v>
      </c>
      <c r="AP23" s="85">
        <f>SUMIFS(Table2[12 Off target, with clinical review (2)],Table2[OrgID],$D23,Table2[Rel_D],$D$61)</f>
        <v>113</v>
      </c>
      <c r="AQ23" s="86">
        <f t="shared" si="10"/>
        <v>0.52314814814814814</v>
      </c>
      <c r="AR23" s="341">
        <v>0.19254658385093168</v>
      </c>
      <c r="AS23" s="326">
        <f>SUMIFS(Table2[E. Patients on the CHD or Stroke/TIA or PAD register],Table2[OrgID],$D23,Table2[Rel_D],$D$61)</f>
        <v>241</v>
      </c>
      <c r="AT23" s="101">
        <f>SUMIFS(Table2[13 Secondary prevention statins prescribed or offered in last 12m],Table2[OrgID],$D23,Table2[Rel_D],$D$61)</f>
        <v>118</v>
      </c>
      <c r="AU23" s="86">
        <f t="shared" si="11"/>
        <v>0.48962655601659749</v>
      </c>
      <c r="AV23" s="346">
        <v>0.45798319327731091</v>
      </c>
      <c r="AW23" s="435">
        <f>SUMIFS(Table2[F. Patients on anticoagulants or antiplatelets 6m],Table2[OrgID],Details!D23,Table2[Rel_D],Details!$D$61)</f>
        <v>400</v>
      </c>
      <c r="AX23" s="436" t="e">
        <f>SUMIFS(#REF!,#REF!,Details!#REF!,#REF!,Details!$D$61)</f>
        <v>#REF!</v>
      </c>
      <c r="AY23" s="3">
        <f>SUMIFS(Table2[Not on PPI 6m],Table2[OrgID],$D23,Table2[Rel_D],$D$61)</f>
        <v>208</v>
      </c>
      <c r="AZ23" s="70">
        <f>SUMIFS(Table2[14 Not on PPI, reviewed],Table2[OrgID],$D23,Table2[Rel_D],$D$61)</f>
        <v>21</v>
      </c>
      <c r="BA23" s="86">
        <f t="shared" si="3"/>
        <v>0.10096153846153846</v>
      </c>
      <c r="BB23" s="357">
        <v>5.4644808743169399E-3</v>
      </c>
    </row>
    <row r="24" spans="3:54" ht="18" customHeight="1" thickBot="1">
      <c r="C24" s="17" t="s">
        <v>154</v>
      </c>
      <c r="D24" s="18" t="s">
        <v>74</v>
      </c>
      <c r="E24" s="447">
        <f>SUM(E19:E23)</f>
        <v>41898</v>
      </c>
      <c r="F24" s="448" t="e">
        <f t="shared" ref="F24" si="16">SUM(F19:F23)</f>
        <v>#REF!</v>
      </c>
      <c r="G24" s="119">
        <f>SUM(G19:G23)</f>
        <v>2745</v>
      </c>
      <c r="H24" s="120">
        <f t="shared" ref="H24:W24" si="17">SUM(H19:H23)</f>
        <v>2558</v>
      </c>
      <c r="I24" s="120">
        <f t="shared" si="17"/>
        <v>1771</v>
      </c>
      <c r="J24" s="235">
        <f t="shared" si="0"/>
        <v>0.6923377638780297</v>
      </c>
      <c r="K24" s="253">
        <v>0.56081081081081086</v>
      </c>
      <c r="L24" s="239">
        <f t="shared" si="17"/>
        <v>946</v>
      </c>
      <c r="M24" s="120">
        <f t="shared" si="17"/>
        <v>122</v>
      </c>
      <c r="N24" s="235">
        <f t="shared" si="4"/>
        <v>0.12896405919661733</v>
      </c>
      <c r="O24" s="290">
        <v>6.6840731070496082E-2</v>
      </c>
      <c r="P24" s="364">
        <f t="shared" si="17"/>
        <v>639</v>
      </c>
      <c r="Q24" s="217">
        <f t="shared" si="17"/>
        <v>499</v>
      </c>
      <c r="R24" s="128">
        <f t="shared" si="5"/>
        <v>0.78090766823161184</v>
      </c>
      <c r="S24" s="128">
        <v>0.74537444933920705</v>
      </c>
      <c r="T24" s="127">
        <f t="shared" si="17"/>
        <v>332</v>
      </c>
      <c r="U24" s="128">
        <f t="shared" si="6"/>
        <v>0.66533066132264529</v>
      </c>
      <c r="V24" s="251">
        <v>0.60264900662251653</v>
      </c>
      <c r="W24" s="127">
        <f t="shared" si="17"/>
        <v>243</v>
      </c>
      <c r="X24" s="243">
        <f t="shared" si="1"/>
        <v>0.48697394789579157</v>
      </c>
      <c r="Y24" s="254">
        <v>0.51214128035320083</v>
      </c>
      <c r="Z24" s="445">
        <f t="shared" ref="Z24:AA24" si="18">SUM(Z19:Z23)</f>
        <v>2654</v>
      </c>
      <c r="AA24" s="446" t="e">
        <f t="shared" si="18"/>
        <v>#REF!</v>
      </c>
      <c r="AB24" s="130">
        <f>SUM(AB19:AB23)</f>
        <v>1824</v>
      </c>
      <c r="AC24" s="131">
        <f t="shared" si="7"/>
        <v>0.6872645064054258</v>
      </c>
      <c r="AD24" s="131">
        <v>0.6662183366958081</v>
      </c>
      <c r="AE24" s="132">
        <f>SUM(AE19:AE23)</f>
        <v>1767</v>
      </c>
      <c r="AF24" s="131">
        <f t="shared" si="8"/>
        <v>0.96875</v>
      </c>
      <c r="AG24" s="131">
        <v>0.86776581426648725</v>
      </c>
      <c r="AH24" s="133">
        <f>SUM(AH19:AH23)</f>
        <v>1792</v>
      </c>
      <c r="AI24" s="294">
        <f t="shared" si="2"/>
        <v>0.98245614035087714</v>
      </c>
      <c r="AJ24" s="134">
        <v>0.65545087483176312</v>
      </c>
      <c r="AK24" s="137">
        <f>SUM(AK19:AK23)</f>
        <v>7056</v>
      </c>
      <c r="AL24" s="138">
        <f>SUM(AL19:AL23)</f>
        <v>3447</v>
      </c>
      <c r="AM24" s="139">
        <f t="shared" si="9"/>
        <v>0.48852040816326531</v>
      </c>
      <c r="AN24" s="139">
        <v>0.3588428223025818</v>
      </c>
      <c r="AO24" s="138">
        <f>SUM(AO19:AO23)</f>
        <v>3609</v>
      </c>
      <c r="AP24" s="138">
        <f>SUM(AP19:AP23)</f>
        <v>1730</v>
      </c>
      <c r="AQ24" s="139">
        <f t="shared" si="10"/>
        <v>0.47935716264893324</v>
      </c>
      <c r="AR24" s="306">
        <v>0.21537250786988457</v>
      </c>
      <c r="AS24" s="324">
        <f>SUM(AS19:AS23)</f>
        <v>1973</v>
      </c>
      <c r="AT24" s="143">
        <f>SUM(AT19:AT23)</f>
        <v>946</v>
      </c>
      <c r="AU24" s="309">
        <f t="shared" si="11"/>
        <v>0.47947288393309678</v>
      </c>
      <c r="AV24" s="320">
        <v>0.44868035190615835</v>
      </c>
      <c r="AW24" s="441">
        <f t="shared" ref="AW24:AX24" si="19">SUM(AW19:AW23)</f>
        <v>3052</v>
      </c>
      <c r="AX24" s="442" t="e">
        <f t="shared" si="19"/>
        <v>#REF!</v>
      </c>
      <c r="AY24" s="144">
        <f>SUM(AY19:AY23)</f>
        <v>1474</v>
      </c>
      <c r="AZ24" s="145">
        <f>SUM(AZ19:AZ23)</f>
        <v>143</v>
      </c>
      <c r="BA24" s="316">
        <f t="shared" si="3"/>
        <v>9.7014925373134331E-2</v>
      </c>
      <c r="BB24" s="353">
        <v>0.2454473475851148</v>
      </c>
    </row>
    <row r="25" spans="3:54">
      <c r="C25" s="77" t="s">
        <v>155</v>
      </c>
      <c r="D25" s="78" t="s">
        <v>75</v>
      </c>
      <c r="E25" s="449">
        <f>SUMIFS(Table2[All currently registered regular patients aged 18+],Table2[OrgID],D25,Table2[Rel_D],Details!$D$61)</f>
        <v>7813</v>
      </c>
      <c r="F25" s="431" t="e">
        <f>SUMIFS(#REF!,#REF!,C25,#REF!,Details!$D$61)</f>
        <v>#REF!</v>
      </c>
      <c r="G25" s="121">
        <f>SUMIFS(Table2[A. Patients on the diabetes register],Table2[OrgID],D25,Table2[Rel_D],Details!$D$61)</f>
        <v>747</v>
      </c>
      <c r="H25" s="122">
        <f>SUMIFS(Table2[Type 2 diabetics],Table2[OrgID],D25,Table2[Rel_D],Details!$D$61)</f>
        <v>706</v>
      </c>
      <c r="I25" s="122">
        <f>SUMIFS(Table2[1 Diabetes review recorded or proxy 12m],Table2[OrgID],$D25,Table2[Rel_D],$D$61)</f>
        <v>558</v>
      </c>
      <c r="J25" s="237">
        <f t="shared" si="0"/>
        <v>0.79036827195467418</v>
      </c>
      <c r="K25" s="240">
        <v>0.76080691642651299</v>
      </c>
      <c r="L25" s="231">
        <f>SUMIFS(Table2[Eligible for triple target],Table2[OrgID],$D25,Table2[Rel_D],$D$61)</f>
        <v>454</v>
      </c>
      <c r="M25" s="122">
        <f>SUMIFS(Table2[3 Triple target achieved],Table2[OrgID],$D25,Table2[Rel_D],$D$61)</f>
        <v>68</v>
      </c>
      <c r="N25" s="237">
        <f t="shared" si="4"/>
        <v>0.14977973568281938</v>
      </c>
      <c r="O25" s="291">
        <v>0.20699708454810495</v>
      </c>
      <c r="P25" s="121">
        <f>SUMIFS(Table2[B. Patients on the COPD register],Table2[OrgID],$D25,Table2[Rel_D],$D$61)</f>
        <v>93</v>
      </c>
      <c r="Q25" s="231">
        <f>SUMIFS(Table2[4 COPD review coded or proxy (MRC) 12m],Table2[OrgID],$D25,Table2[Rel_D],$D$61)</f>
        <v>85</v>
      </c>
      <c r="R25" s="125">
        <f t="shared" si="5"/>
        <v>0.91397849462365588</v>
      </c>
      <c r="S25" s="240">
        <v>0.94059405940594054</v>
      </c>
      <c r="T25" s="122">
        <f>SUMIFS(Table2[6 CAT Score &amp; MRC scale recorded],Table2[OrgID],$D25,Table2[Rel_D],$D$61)</f>
        <v>74</v>
      </c>
      <c r="U25" s="125">
        <f t="shared" si="6"/>
        <v>0.87058823529411766</v>
      </c>
      <c r="V25" s="240">
        <v>0.82105263157894737</v>
      </c>
      <c r="W25" s="122">
        <f>SUMIFS(Table2[7 COPD action plan recorded 12m],Table2[OrgID],$D25,Table2[Rel_D],$D$61)</f>
        <v>67</v>
      </c>
      <c r="X25" s="237">
        <f t="shared" si="1"/>
        <v>0.78823529411764703</v>
      </c>
      <c r="Y25" s="248">
        <v>0.95789473684210524</v>
      </c>
      <c r="Z25" s="431">
        <f>SUMIFS(Table2[C. Patients on the asthma register],Table2[OrgID],$D25,Table2[Rel_D],$D$61)</f>
        <v>325</v>
      </c>
      <c r="AA25" s="432" t="e">
        <f>SUMIFS(#REF!,#REF!,$D25,#REF!,$D$61)</f>
        <v>#REF!</v>
      </c>
      <c r="AB25" s="12">
        <f>SUMIFS(Table2[8 Asthma review coded or proxy (inhaler technique) 12m],Table2[OrgID],$D25,Table2[Rel_D],$D$61)</f>
        <v>273</v>
      </c>
      <c r="AC25" s="97">
        <f t="shared" si="7"/>
        <v>0.84</v>
      </c>
      <c r="AD25" s="259">
        <v>0.83532934131736525</v>
      </c>
      <c r="AE25" s="98">
        <f>SUMIFS(Table2[10 Asthma Action Plan recorded 12m],Table2[OrgID],$D25,Table2[Rel_D],$D$61)</f>
        <v>264</v>
      </c>
      <c r="AF25" s="97">
        <f t="shared" si="8"/>
        <v>0.96703296703296704</v>
      </c>
      <c r="AG25" s="259">
        <v>0.97132616487455192</v>
      </c>
      <c r="AH25" s="80">
        <f>SUMIFS(Table2[11 ACT recorded],Table2[OrgID],$D25,Table2[Rel_D],$D$61)</f>
        <v>264</v>
      </c>
      <c r="AI25" s="292">
        <f t="shared" si="2"/>
        <v>0.96703296703296704</v>
      </c>
      <c r="AJ25" s="299">
        <v>0.97132616487455192</v>
      </c>
      <c r="AK25" s="108">
        <f>SUMIFS(Table2[D. Patients on the hypertension register],Table2[OrgID],$D25,Table2[Rel_D],$D$61)</f>
        <v>1139</v>
      </c>
      <c r="AL25" s="89">
        <f>SUMIFS(Table2[15 On target],Table2[OrgID],$D25,Table2[Rel_D],$D$61)</f>
        <v>593</v>
      </c>
      <c r="AM25" s="88">
        <f t="shared" si="9"/>
        <v>0.52063213345039505</v>
      </c>
      <c r="AN25" s="337">
        <v>0.51136363636363635</v>
      </c>
      <c r="AO25" s="87">
        <f>SUMIFS(Table2[Off target],Table2[OrgID],$D25,Table2[Rel_D],$D$61)</f>
        <v>546</v>
      </c>
      <c r="AP25" s="87">
        <f>SUMIFS(Table2[12 Off target, with clinical review (2)],Table2[OrgID],$D25,Table2[Rel_D],$D$61)</f>
        <v>196</v>
      </c>
      <c r="AQ25" s="88">
        <f t="shared" si="10"/>
        <v>0.35897435897435898</v>
      </c>
      <c r="AR25" s="342">
        <v>0.14669051878354203</v>
      </c>
      <c r="AS25" s="327">
        <f>SUMIFS(Table2[E. Patients on the CHD or Stroke/TIA or PAD register],Table2[OrgID],$D25,Table2[Rel_D],$D$61)</f>
        <v>359</v>
      </c>
      <c r="AT25" s="102">
        <f>SUMIFS(Table2[13 Secondary prevention statins prescribed or offered in last 12m],Table2[OrgID],$D25,Table2[Rel_D],$D$61)</f>
        <v>192</v>
      </c>
      <c r="AU25" s="88">
        <f t="shared" si="11"/>
        <v>0.5348189415041783</v>
      </c>
      <c r="AV25" s="348">
        <v>0.54</v>
      </c>
      <c r="AW25" s="431">
        <f>SUMIFS(Table2[F. Patients on anticoagulants or antiplatelets 6m],Table2[OrgID],Details!D25,Table2[Rel_D],Details!$D$61)</f>
        <v>509</v>
      </c>
      <c r="AX25" s="432" t="e">
        <f>SUMIFS(#REF!,#REF!,Details!#REF!,#REF!,Details!$D$61)</f>
        <v>#REF!</v>
      </c>
      <c r="AY25" s="12">
        <f>SUMIFS(Table2[Not on PPI 6m],Table2[OrgID],$D25,Table2[Rel_D],$D$61)</f>
        <v>226</v>
      </c>
      <c r="AZ25" s="80">
        <f>SUMIFS(Table2[14 Not on PPI, reviewed],Table2[OrgID],$D25,Table2[Rel_D],$D$61)</f>
        <v>58</v>
      </c>
      <c r="BA25" s="88">
        <f t="shared" si="3"/>
        <v>0.25663716814159293</v>
      </c>
      <c r="BB25" s="358">
        <v>0.22077922077922077</v>
      </c>
    </row>
    <row r="26" spans="3:54">
      <c r="C26" s="73" t="s">
        <v>156</v>
      </c>
      <c r="D26" s="74" t="s">
        <v>76</v>
      </c>
      <c r="E26" s="450">
        <f>SUMIFS(Table2[All currently registered regular patients aged 18+],Table2[OrgID],D26,Table2[Rel_D],Details!$D$61)</f>
        <v>8209</v>
      </c>
      <c r="F26" s="433" t="e">
        <f>SUMIFS(#REF!,#REF!,C26,#REF!,Details!$D$61)</f>
        <v>#REF!</v>
      </c>
      <c r="G26" s="115">
        <f>SUMIFS(Table2[A. Patients on the diabetes register],Table2[OrgID],D26,Table2[Rel_D],Details!$D$61)</f>
        <v>797</v>
      </c>
      <c r="H26" s="116">
        <f>SUMIFS(Table2[Type 2 diabetics],Table2[OrgID],D26,Table2[Rel_D],Details!$D$61)</f>
        <v>767</v>
      </c>
      <c r="I26" s="116">
        <f>SUMIFS(Table2[1 Diabetes review recorded or proxy 12m],Table2[OrgID],$D26,Table2[Rel_D],$D$61)</f>
        <v>698</v>
      </c>
      <c r="J26" s="234">
        <f t="shared" si="0"/>
        <v>0.91003911342894395</v>
      </c>
      <c r="K26" s="241">
        <v>0.73359580052493434</v>
      </c>
      <c r="L26" s="229">
        <f>SUMIFS(Table2[Eligible for triple target],Table2[OrgID],$D26,Table2[Rel_D],$D$61)</f>
        <v>525</v>
      </c>
      <c r="M26" s="116">
        <f>SUMIFS(Table2[3 Triple target achieved],Table2[OrgID],$D26,Table2[Rel_D],$D$61)</f>
        <v>110</v>
      </c>
      <c r="N26" s="234">
        <f t="shared" si="4"/>
        <v>0.20952380952380953</v>
      </c>
      <c r="O26" s="287">
        <v>0.15277777777777779</v>
      </c>
      <c r="P26" s="115">
        <f>SUMIFS(Table2[B. Patients on the COPD register],Table2[OrgID],$D26,Table2[Rel_D],$D$61)</f>
        <v>46</v>
      </c>
      <c r="Q26" s="229">
        <f>SUMIFS(Table2[4 COPD review coded or proxy (MRC) 12m],Table2[OrgID],$D26,Table2[Rel_D],$D$61)</f>
        <v>43</v>
      </c>
      <c r="R26" s="123">
        <f t="shared" si="5"/>
        <v>0.93478260869565222</v>
      </c>
      <c r="S26" s="241">
        <v>0.9375</v>
      </c>
      <c r="T26" s="116">
        <f>SUMIFS(Table2[6 CAT Score &amp; MRC scale recorded],Table2[OrgID],$D26,Table2[Rel_D],$D$61)</f>
        <v>43</v>
      </c>
      <c r="U26" s="123">
        <f t="shared" si="6"/>
        <v>1</v>
      </c>
      <c r="V26" s="241">
        <v>0.73333333333333328</v>
      </c>
      <c r="W26" s="116">
        <f>SUMIFS(Table2[7 COPD action plan recorded 12m],Table2[OrgID],$D26,Table2[Rel_D],$D$61)</f>
        <v>37</v>
      </c>
      <c r="X26" s="234">
        <f t="shared" si="1"/>
        <v>0.86046511627906974</v>
      </c>
      <c r="Y26" s="249">
        <v>0.9555555555555556</v>
      </c>
      <c r="Z26" s="433">
        <f>SUMIFS(Table2[C. Patients on the asthma register],Table2[OrgID],$D26,Table2[Rel_D],$D$61)</f>
        <v>457</v>
      </c>
      <c r="AA26" s="434" t="e">
        <f>SUMIFS(#REF!,#REF!,$D26,#REF!,$D$61)</f>
        <v>#REF!</v>
      </c>
      <c r="AB26" s="2">
        <f>SUMIFS(Table2[8 Asthma review coded or proxy (inhaler technique) 12m],Table2[OrgID],$D26,Table2[Rel_D],$D$61)</f>
        <v>392</v>
      </c>
      <c r="AC26" s="93">
        <f t="shared" si="7"/>
        <v>0.85776805251641142</v>
      </c>
      <c r="AD26" s="260">
        <v>0.84367816091954018</v>
      </c>
      <c r="AE26" s="94">
        <f>SUMIFS(Table2[10 Asthma Action Plan recorded 12m],Table2[OrgID],$D26,Table2[Rel_D],$D$61)</f>
        <v>385</v>
      </c>
      <c r="AF26" s="93">
        <f t="shared" si="8"/>
        <v>0.9821428571428571</v>
      </c>
      <c r="AG26" s="260">
        <v>0.98910081743869205</v>
      </c>
      <c r="AH26" s="69">
        <f>SUMIFS(Table2[11 ACT recorded],Table2[OrgID],$D26,Table2[Rel_D],$D$61)</f>
        <v>376</v>
      </c>
      <c r="AI26" s="293">
        <f t="shared" si="2"/>
        <v>0.95918367346938771</v>
      </c>
      <c r="AJ26" s="300">
        <v>0.98365122615803813</v>
      </c>
      <c r="AK26" s="109">
        <f>SUMIFS(Table2[D. Patients on the hypertension register],Table2[OrgID],$D26,Table2[Rel_D],$D$61)</f>
        <v>1067</v>
      </c>
      <c r="AL26" s="90">
        <f>SUMIFS(Table2[15 On target],Table2[OrgID],$D26,Table2[Rel_D],$D$61)</f>
        <v>685</v>
      </c>
      <c r="AM26" s="84">
        <f t="shared" si="9"/>
        <v>0.64198687910028118</v>
      </c>
      <c r="AN26" s="334">
        <v>0.42506811989100818</v>
      </c>
      <c r="AO26" s="83">
        <f>SUMIFS(Table2[Off target],Table2[OrgID],$D26,Table2[Rel_D],$D$61)</f>
        <v>382</v>
      </c>
      <c r="AP26" s="83">
        <f>SUMIFS(Table2[12 Off target, with clinical review (2)],Table2[OrgID],$D26,Table2[Rel_D],$D$61)</f>
        <v>150</v>
      </c>
      <c r="AQ26" s="84">
        <f t="shared" si="10"/>
        <v>0.39267015706806285</v>
      </c>
      <c r="AR26" s="340">
        <v>0.20221169036334913</v>
      </c>
      <c r="AS26" s="322">
        <f>SUMIFS(Table2[E. Patients on the CHD or Stroke/TIA or PAD register],Table2[OrgID],$D26,Table2[Rel_D],$D$61)</f>
        <v>346</v>
      </c>
      <c r="AT26" s="100">
        <f>SUMIFS(Table2[13 Secondary prevention statins prescribed or offered in last 12m],Table2[OrgID],$D26,Table2[Rel_D],$D$61)</f>
        <v>200</v>
      </c>
      <c r="AU26" s="84">
        <f t="shared" si="11"/>
        <v>0.5780346820809249</v>
      </c>
      <c r="AV26" s="345">
        <v>0.52212389380530977</v>
      </c>
      <c r="AW26" s="433">
        <f>SUMIFS(Table2[F. Patients on anticoagulants or antiplatelets 6m],Table2[OrgID],Details!D26,Table2[Rel_D],Details!$D$61)</f>
        <v>445</v>
      </c>
      <c r="AX26" s="434" t="e">
        <f>SUMIFS(#REF!,#REF!,Details!#REF!,#REF!,Details!$D$61)</f>
        <v>#REF!</v>
      </c>
      <c r="AY26" s="2">
        <f>SUMIFS(Table2[Not on PPI 6m],Table2[OrgID],$D26,Table2[Rel_D],$D$61)</f>
        <v>171</v>
      </c>
      <c r="AZ26" s="69">
        <f>SUMIFS(Table2[14 Not on PPI, reviewed],Table2[OrgID],$D26,Table2[Rel_D],$D$61)</f>
        <v>60</v>
      </c>
      <c r="BA26" s="84">
        <f t="shared" si="3"/>
        <v>0.35087719298245612</v>
      </c>
      <c r="BB26" s="356">
        <v>0.34031413612565448</v>
      </c>
    </row>
    <row r="27" spans="3:54" ht="15.75" thickBot="1">
      <c r="C27" s="75" t="s">
        <v>157</v>
      </c>
      <c r="D27" s="76" t="s">
        <v>59</v>
      </c>
      <c r="E27" s="455">
        <f>IF(COUNTIFS(Table2[OrgID],D27,Table2[Rel_D],Details!$D$61) =0,"-",SUMIFS(Table2[All currently registered regular patients aged 18+],Table2[OrgID],D27,Table2[Rel_D],Details!$D$61))</f>
        <v>11775</v>
      </c>
      <c r="F27" s="435" t="e">
        <f>SUMIFS(#REF!,#REF!,C27,#REF!,Details!$D$61)</f>
        <v>#REF!</v>
      </c>
      <c r="G27" s="117">
        <f>IF(COUNTIFS(Table2[OrgID],D27,Table2[Rel_D],Details!$D$61) =0,"-",SUMIFS(Table2[A. Patients on the diabetes register],Table2[OrgID],D27,Table2[Rel_D],Details!$D$61))</f>
        <v>869</v>
      </c>
      <c r="H27" s="118">
        <f>IF(COUNTIFS(Table2[OrgID],D27,Table2[Rel_D],Details!$D$61) =0,"-",SUMIFS(Table2[Type 2 diabetics],Table2[OrgID],D27,Table2[Rel_D],Details!$D$61))</f>
        <v>827</v>
      </c>
      <c r="I27" s="118">
        <f>IF(COUNTIFS(Table2[OrgID],D27,Table2[Rel_D],Details!$D$61) =0,"-",SUMIFS(Table2[1 Diabetes review recorded or proxy 12m],Table2[OrgID],$D27,Table2[Rel_D],$D$61))</f>
        <v>630</v>
      </c>
      <c r="J27" s="234">
        <f t="shared" si="0"/>
        <v>0.76178960096735182</v>
      </c>
      <c r="K27" s="242">
        <v>0.8087697929354446</v>
      </c>
      <c r="L27" s="230">
        <f>IF(COUNTIFS(Table2[OrgID],D27,Table2[Rel_D],Details!$D$61) =0,"-",SUMIFS(Table2[Eligible for triple target],Table2[OrgID],$D27,Table2[Rel_D],$D$61))</f>
        <v>682</v>
      </c>
      <c r="M27" s="118">
        <f>IF(COUNTIFS(Table2[OrgID],D27,Table2[Rel_D],Details!$D$61) =0,"-",SUMIFS(Table2[3 Triple target achieved],Table2[OrgID],$D27,Table2[Rel_D],$D$61))</f>
        <v>75</v>
      </c>
      <c r="N27" s="234">
        <f t="shared" si="4"/>
        <v>0.10997067448680352</v>
      </c>
      <c r="O27" s="289">
        <v>2.9806259314456036E-3</v>
      </c>
      <c r="P27" s="117">
        <f>IF(COUNTIFS(Table2[OrgID],D27,Table2[Rel_D],Details!$D$61) =0,"-",SUMIFS(Table2[B. Patients on the COPD register],Table2[OrgID],$D27,Table2[Rel_D],$D$61))</f>
        <v>116</v>
      </c>
      <c r="Q27" s="230">
        <f>IF(COUNTIFS(Table2[OrgID],D27,Table2[Rel_D],Details!$D$61) =0,"-",SUMIFS(Table2[4 COPD review coded or proxy (MRC) 12m],Table2[OrgID],$D27,Table2[Rel_D],$D$61))</f>
        <v>84</v>
      </c>
      <c r="R27" s="123">
        <f t="shared" si="5"/>
        <v>0.72413793103448276</v>
      </c>
      <c r="S27" s="242">
        <v>0.64601769911504425</v>
      </c>
      <c r="T27" s="118">
        <f>IF(COUNTIFS(Table2[OrgID],D27,Table2[Rel_D],Details!$D$61) =0,"-",SUMIFS(Table2[6 CAT Score &amp; MRC scale recorded],Table2[OrgID],$D27,Table2[Rel_D],$D$61))</f>
        <v>63</v>
      </c>
      <c r="U27" s="124">
        <f t="shared" si="6"/>
        <v>0.75</v>
      </c>
      <c r="V27" s="242">
        <v>0.68867924528301883</v>
      </c>
      <c r="W27" s="118">
        <f>IF(COUNTIFS(Table2[OrgID],D27,Table2[Rel_D],Details!$D$61) =0,"-",SUMIFS(Table2[7 COPD action plan recorded 12m],Table2[OrgID],$D27,Table2[Rel_D],$D$61))</f>
        <v>20</v>
      </c>
      <c r="X27" s="234">
        <f t="shared" si="1"/>
        <v>0.23809523809523808</v>
      </c>
      <c r="Y27" s="250">
        <v>0.41509433962264153</v>
      </c>
      <c r="Z27" s="435">
        <f>IF(COUNTIFS(Table2[OrgID],D27,Table2[Rel_D],Details!$D$61) =0,"-",SUMIFS(Table2[C. Patients on the asthma register],Table2[OrgID],$D27,Table2[Rel_D],$D$61))</f>
        <v>576</v>
      </c>
      <c r="AA27" s="436" t="e">
        <f>SUMIFS(#REF!,#REF!,$D27,#REF!,$D$61)</f>
        <v>#REF!</v>
      </c>
      <c r="AB27" s="3">
        <f>IF(COUNTIFS(Table2[OrgID],D27,Table2[Rel_D],Details!$D$61) =0,"-",SUMIFS(Table2[8 Asthma review coded or proxy (inhaler technique) 12m],Table2[OrgID],$D27,Table2[Rel_D],$D$61))</f>
        <v>442</v>
      </c>
      <c r="AC27" s="93">
        <f t="shared" si="7"/>
        <v>0.76736111111111116</v>
      </c>
      <c r="AD27" s="261">
        <v>0.63745704467353947</v>
      </c>
      <c r="AE27" s="188">
        <f>IF(COUNTIFS(Table2[OrgID],D27,Table2[Rel_D],Details!$D$61) =0,"-",SUMIFS(Table2[10 Asthma Action Plan recorded 12m],Table2[OrgID],$D27,Table2[Rel_D],$D$61))</f>
        <v>436</v>
      </c>
      <c r="AF27" s="93">
        <f t="shared" si="8"/>
        <v>0.98642533936651589</v>
      </c>
      <c r="AG27" s="261">
        <v>0.95956873315363878</v>
      </c>
      <c r="AH27" s="3">
        <f>IF(COUNTIFS(Table2[OrgID],D27,Table2[Rel_D],Details!$D$61) =0,"-",SUMIFS(Table2[11 ACT recorded],Table2[OrgID],$D27,Table2[Rel_D],$D$61))</f>
        <v>435</v>
      </c>
      <c r="AI27" s="293">
        <f t="shared" si="2"/>
        <v>0.98416289592760176</v>
      </c>
      <c r="AJ27" s="301">
        <v>0.97304582210242585</v>
      </c>
      <c r="AK27" s="196">
        <f>IF(COUNTIFS(Table2[OrgID],D27,Table2[Rel_D],Details!$D$61) =0,"-",SUMIFS(Table2[D. Patients on the hypertension register],Table2[OrgID],$D27,Table2[Rel_D],$D$61))</f>
        <v>1480</v>
      </c>
      <c r="AL27" s="197">
        <f>IF(COUNTIFS(Table2[OrgID],D27,Table2[Rel_D],Details!$D$61) =0,"-",SUMIFS(Table2[15 On target],Table2[OrgID],$D27,Table2[Rel_D],$D$61))</f>
        <v>655</v>
      </c>
      <c r="AM27" s="84">
        <f t="shared" si="9"/>
        <v>0.44256756756756754</v>
      </c>
      <c r="AN27" s="335">
        <v>0.3519140362659503</v>
      </c>
      <c r="AO27" s="190">
        <f>IF(COUNTIFS(Table2[OrgID],D27,Table2[Rel_D],Details!$D$61) =0,"-",SUMIFS(Table2[Off target],Table2[OrgID],$D27,Table2[Rel_D],$D$61))</f>
        <v>825</v>
      </c>
      <c r="AP27" s="190">
        <f>IFERROR(IF(COUNTIFS(Table2[OrgID],D27,Table2[Rel_D],Details!$D$61) =0,"-",SUMIFS(Table2[12 Off target, with clinical review (2)],Table2[OrgID],$D27,Table2[Rel_D],$D$61)),"-")</f>
        <v>513</v>
      </c>
      <c r="AQ27" s="84">
        <f t="shared" si="10"/>
        <v>0.62181818181818183</v>
      </c>
      <c r="AR27" s="341">
        <v>0.7025906735751295</v>
      </c>
      <c r="AS27" s="323">
        <f>IF(COUNTIFS(Table2[OrgID],D27,Table2[Rel_D],Details!$D$61) =0,"-",SUMIFS(Table2[E. Patients on the CHD or Stroke/TIA or PAD register],Table2[OrgID],$D27,Table2[Rel_D],$D$61))</f>
        <v>578</v>
      </c>
      <c r="AT27" s="191">
        <f>IF(COUNTIFS(Table2[OrgID],D27,Table2[Rel_D],Details!$D$61) =0,"-",SUMIFS(Table2[13 Secondary prevention statins prescribed or offered in last 12m],Table2[OrgID],$D27,Table2[Rel_D],$D$61))</f>
        <v>220</v>
      </c>
      <c r="AU27" s="84">
        <f t="shared" si="11"/>
        <v>0.38062283737024222</v>
      </c>
      <c r="AV27" s="346">
        <v>0.3611111111111111</v>
      </c>
      <c r="AW27" s="435">
        <f>IF(COUNTIFS(Table2[OrgID],D27,Table2[Rel_D],Details!$D$61) =0,"-",SUMIFS(Table2[F. Patients on anticoagulants or antiplatelets 6m],Table2[OrgID],Details!D27,Table2[Rel_D],Details!$D$61))</f>
        <v>514</v>
      </c>
      <c r="AX27" s="436" t="e">
        <f>SUMIFS(#REF!,#REF!,Details!#REF!,#REF!,Details!$D$61)</f>
        <v>#REF!</v>
      </c>
      <c r="AY27" s="3">
        <f>IF(COUNTIFS(Table2[OrgID],D27,Table2[Rel_D],Details!$D$61) =0,"-",SUMIFS(Table2[Not on PPI 6m],Table2[OrgID],$D27,Table2[Rel_D],$D$61))</f>
        <v>238</v>
      </c>
      <c r="AZ27" s="3">
        <f>IF(COUNTIFS(Table2[OrgID],D27,Table2[Rel_D],Details!$D$61) =0,"-",SUMIFS(Table2[14 Not on PPI, reviewed],Table2[OrgID],$D27,Table2[Rel_D],$D$61))</f>
        <v>3</v>
      </c>
      <c r="BA27" s="84">
        <f t="shared" si="3"/>
        <v>1.2605042016806723E-2</v>
      </c>
      <c r="BB27" s="357">
        <v>0.99595141700404854</v>
      </c>
    </row>
    <row r="28" spans="3:54" ht="18" customHeight="1" thickBot="1">
      <c r="C28" s="17" t="s">
        <v>158</v>
      </c>
      <c r="D28" s="18" t="s">
        <v>77</v>
      </c>
      <c r="E28" s="447">
        <f>SUM(E25:E27)</f>
        <v>27797</v>
      </c>
      <c r="F28" s="448" t="e">
        <f t="shared" ref="F28" si="20">SUM(F25:F27)</f>
        <v>#REF!</v>
      </c>
      <c r="G28" s="119">
        <f>SUM(G25:G27)</f>
        <v>2413</v>
      </c>
      <c r="H28" s="120">
        <f t="shared" ref="H28:W28" si="21">SUM(H25:H27)</f>
        <v>2300</v>
      </c>
      <c r="I28" s="120">
        <f t="shared" si="21"/>
        <v>1886</v>
      </c>
      <c r="J28" s="235">
        <f t="shared" si="0"/>
        <v>0.82</v>
      </c>
      <c r="K28" s="253">
        <v>0.76024645057594431</v>
      </c>
      <c r="L28" s="239">
        <f t="shared" si="21"/>
        <v>1661</v>
      </c>
      <c r="M28" s="120">
        <f t="shared" si="21"/>
        <v>253</v>
      </c>
      <c r="N28" s="235">
        <f t="shared" si="4"/>
        <v>0.15231788079470199</v>
      </c>
      <c r="O28" s="290">
        <v>0.12426834759117515</v>
      </c>
      <c r="P28" s="364">
        <f t="shared" si="21"/>
        <v>255</v>
      </c>
      <c r="Q28" s="217">
        <f t="shared" si="21"/>
        <v>212</v>
      </c>
      <c r="R28" s="128">
        <f t="shared" si="5"/>
        <v>0.83137254901960789</v>
      </c>
      <c r="S28" s="128">
        <v>0.85888077858880774</v>
      </c>
      <c r="T28" s="127">
        <f t="shared" si="21"/>
        <v>180</v>
      </c>
      <c r="U28" s="128">
        <f t="shared" si="6"/>
        <v>0.84905660377358494</v>
      </c>
      <c r="V28" s="251">
        <v>0.76424870466321249</v>
      </c>
      <c r="W28" s="127">
        <f t="shared" si="21"/>
        <v>124</v>
      </c>
      <c r="X28" s="243">
        <f t="shared" si="1"/>
        <v>0.58490566037735847</v>
      </c>
      <c r="Y28" s="254">
        <v>0.80829015544041449</v>
      </c>
      <c r="Z28" s="445">
        <f t="shared" ref="Z28:AA28" si="22">SUM(Z25:Z27)</f>
        <v>1358</v>
      </c>
      <c r="AA28" s="446" t="e">
        <f t="shared" si="22"/>
        <v>#REF!</v>
      </c>
      <c r="AB28" s="130">
        <f>SUM(AB25:AB27)</f>
        <v>1107</v>
      </c>
      <c r="AC28" s="131">
        <f t="shared" si="7"/>
        <v>0.81516936671575846</v>
      </c>
      <c r="AD28" s="131">
        <v>0.78443396226415096</v>
      </c>
      <c r="AE28" s="132">
        <f>SUM(AE25:AE27)</f>
        <v>1085</v>
      </c>
      <c r="AF28" s="131">
        <f t="shared" si="8"/>
        <v>0.98012646793134595</v>
      </c>
      <c r="AG28" s="131">
        <v>0.97654840649428742</v>
      </c>
      <c r="AH28" s="133">
        <f>SUM(AH25:AH27)</f>
        <v>1075</v>
      </c>
      <c r="AI28" s="294">
        <f t="shared" si="2"/>
        <v>0.97109304426377596</v>
      </c>
      <c r="AJ28" s="134">
        <v>0.97714972940469036</v>
      </c>
      <c r="AK28" s="137">
        <f>SUM(AK25:AK27)</f>
        <v>3686</v>
      </c>
      <c r="AL28" s="138">
        <f>SUM(AL25:AL27)</f>
        <v>1933</v>
      </c>
      <c r="AM28" s="139">
        <f t="shared" si="9"/>
        <v>0.52441671188279981</v>
      </c>
      <c r="AN28" s="336">
        <v>0.43987288844288341</v>
      </c>
      <c r="AO28" s="138">
        <f>SUM(AO25:AO27)</f>
        <v>1753</v>
      </c>
      <c r="AP28" s="138">
        <f>SUM(AP25:AP27)</f>
        <v>859</v>
      </c>
      <c r="AQ28" s="139">
        <f t="shared" si="10"/>
        <v>0.49001711351968052</v>
      </c>
      <c r="AR28" s="306">
        <v>0.32785906240668855</v>
      </c>
      <c r="AS28" s="324">
        <f>SUM(AS25:AS27)</f>
        <v>1283</v>
      </c>
      <c r="AT28" s="143">
        <f>SUM(AT25:AT27)</f>
        <v>612</v>
      </c>
      <c r="AU28" s="309">
        <f t="shared" si="11"/>
        <v>0.47700701480904129</v>
      </c>
      <c r="AV28" s="320">
        <v>0.48106448311156602</v>
      </c>
      <c r="AW28" s="441">
        <f t="shared" ref="AW28:AX28" si="23">SUM(AW25:AW27)</f>
        <v>1468</v>
      </c>
      <c r="AX28" s="442" t="e">
        <f t="shared" si="23"/>
        <v>#REF!</v>
      </c>
      <c r="AY28" s="144">
        <f>SUM(AY25:AY27)</f>
        <v>635</v>
      </c>
      <c r="AZ28" s="145">
        <f>SUM(AZ25:AZ27)</f>
        <v>121</v>
      </c>
      <c r="BA28" s="315">
        <f t="shared" si="3"/>
        <v>0.19055118110236222</v>
      </c>
      <c r="BB28" s="353">
        <v>0.43813015582034831</v>
      </c>
    </row>
    <row r="29" spans="3:54">
      <c r="C29" s="77" t="s">
        <v>159</v>
      </c>
      <c r="D29" s="78" t="s">
        <v>78</v>
      </c>
      <c r="E29" s="449">
        <f>SUMIFS(Table2[All currently registered regular patients aged 18+],Table2[OrgID],D29,Table2[Rel_D],Details!$D$61)</f>
        <v>11555</v>
      </c>
      <c r="F29" s="431" t="e">
        <f>SUMIFS(#REF!,#REF!,C29,#REF!,Details!$D$61)</f>
        <v>#REF!</v>
      </c>
      <c r="G29" s="121">
        <f>SUMIFS(Table2[A. Patients on the diabetes register],Table2[OrgID],D29,Table2[Rel_D],Details!$D$61)</f>
        <v>787</v>
      </c>
      <c r="H29" s="122">
        <f>SUMIFS(Table2[Type 2 diabetics],Table2[OrgID],D29,Table2[Rel_D],Details!$D$61)</f>
        <v>727</v>
      </c>
      <c r="I29" s="122">
        <f>SUMIFS(Table2[1 Diabetes review recorded or proxy 12m],Table2[OrgID],$D29,Table2[Rel_D],$D$61)</f>
        <v>547</v>
      </c>
      <c r="J29" s="237">
        <f t="shared" si="0"/>
        <v>0.75240715268225589</v>
      </c>
      <c r="K29" s="240">
        <v>0.30374479889042993</v>
      </c>
      <c r="L29" s="231">
        <f>SUMIFS(Table2[Eligible for triple target],Table2[OrgID],$D29,Table2[Rel_D],$D$61)</f>
        <v>524</v>
      </c>
      <c r="M29" s="122">
        <f>SUMIFS(Table2[3 Triple target achieved],Table2[OrgID],$D29,Table2[Rel_D],$D$61)</f>
        <v>80</v>
      </c>
      <c r="N29" s="237">
        <f t="shared" si="4"/>
        <v>0.15267175572519084</v>
      </c>
      <c r="O29" s="291">
        <v>8.2236842105263164E-2</v>
      </c>
      <c r="P29" s="121">
        <f>SUMIFS(Table2[B. Patients on the COPD register],Table2[OrgID],$D29,Table2[Rel_D],$D$61)</f>
        <v>105</v>
      </c>
      <c r="Q29" s="231">
        <f>SUMIFS(Table2[4 COPD review coded or proxy (MRC) 12m],Table2[OrgID],$D29,Table2[Rel_D],$D$61)</f>
        <v>92</v>
      </c>
      <c r="R29" s="125">
        <f t="shared" si="5"/>
        <v>0.87619047619047619</v>
      </c>
      <c r="S29" s="240">
        <v>0.66379310344827591</v>
      </c>
      <c r="T29" s="122">
        <f>SUMIFS(Table2[6 CAT Score &amp; MRC scale recorded],Table2[OrgID],$D29,Table2[Rel_D],$D$61)</f>
        <v>89</v>
      </c>
      <c r="U29" s="125">
        <f t="shared" si="6"/>
        <v>0.96739130434782605</v>
      </c>
      <c r="V29" s="240">
        <v>0.55844155844155841</v>
      </c>
      <c r="W29" s="122">
        <f>SUMIFS(Table2[7 COPD action plan recorded 12m],Table2[OrgID],$D29,Table2[Rel_D],$D$61)</f>
        <v>89</v>
      </c>
      <c r="X29" s="237">
        <f t="shared" si="1"/>
        <v>0.96739130434782605</v>
      </c>
      <c r="Y29" s="248">
        <v>0.36363636363636365</v>
      </c>
      <c r="Z29" s="431">
        <f>SUMIFS(Table2[C. Patients on the asthma register],Table2[OrgID],$D29,Table2[Rel_D],$D$61)</f>
        <v>614</v>
      </c>
      <c r="AA29" s="432" t="e">
        <f>SUMIFS(#REF!,#REF!,$D29,#REF!,$D$61)</f>
        <v>#REF!</v>
      </c>
      <c r="AB29" s="12">
        <f>SUMIFS(Table2[8 Asthma review coded or proxy (inhaler technique) 12m],Table2[OrgID],$D29,Table2[Rel_D],$D$61)</f>
        <v>413</v>
      </c>
      <c r="AC29" s="97">
        <f t="shared" si="7"/>
        <v>0.67263843648208466</v>
      </c>
      <c r="AD29" s="259">
        <v>0.34390651085141904</v>
      </c>
      <c r="AE29" s="98">
        <f>SUMIFS(Table2[10 Asthma Action Plan recorded 12m],Table2[OrgID],$D29,Table2[Rel_D],$D$61)</f>
        <v>410</v>
      </c>
      <c r="AF29" s="97">
        <f t="shared" si="8"/>
        <v>0.99273607748184023</v>
      </c>
      <c r="AG29" s="259">
        <v>0.74271844660194175</v>
      </c>
      <c r="AH29" s="80">
        <f>SUMIFS(Table2[11 ACT recorded],Table2[OrgID],$D29,Table2[Rel_D],$D$61)</f>
        <v>407</v>
      </c>
      <c r="AI29" s="292">
        <f t="shared" si="2"/>
        <v>0.98547215496368035</v>
      </c>
      <c r="AJ29" s="299">
        <v>0.37378640776699029</v>
      </c>
      <c r="AK29" s="107">
        <f>SUMIFS(Table2[D. Patients on the hypertension register],Table2[OrgID],$D29,Table2[Rel_D],$D$61)</f>
        <v>1418</v>
      </c>
      <c r="AL29" s="87">
        <f>SUMIFS(Table2[15 On target],Table2[OrgID],$D29,Table2[Rel_D],$D$61)</f>
        <v>705</v>
      </c>
      <c r="AM29" s="88">
        <f t="shared" si="9"/>
        <v>0.49717912552891397</v>
      </c>
      <c r="AN29" s="337">
        <v>0.22275862068965518</v>
      </c>
      <c r="AO29" s="87">
        <f>SUMIFS(Table2[Off target],Table2[OrgID],$D29,Table2[Rel_D],$D$61)</f>
        <v>713</v>
      </c>
      <c r="AP29" s="87">
        <f>SUMIFS(Table2[12 Off target, with clinical review (2)],Table2[OrgID],$D29,Table2[Rel_D],$D$61)</f>
        <v>140</v>
      </c>
      <c r="AQ29" s="88">
        <f t="shared" si="10"/>
        <v>0.19635343618513323</v>
      </c>
      <c r="AR29" s="342">
        <v>5.944986690328305E-2</v>
      </c>
      <c r="AS29" s="327">
        <f>SUMIFS(Table2[E. Patients on the CHD or Stroke/TIA or PAD register],Table2[OrgID],$D29,Table2[Rel_D],$D$61)</f>
        <v>359</v>
      </c>
      <c r="AT29" s="102">
        <f>SUMIFS(Table2[13 Secondary prevention statins prescribed or offered in last 12m],Table2[OrgID],$D29,Table2[Rel_D],$D$61)</f>
        <v>175</v>
      </c>
      <c r="AU29" s="88">
        <f t="shared" si="11"/>
        <v>0.48746518105849584</v>
      </c>
      <c r="AV29" s="349">
        <v>0.44219653179190749</v>
      </c>
      <c r="AW29" s="431">
        <f>SUMIFS(Table2[F. Patients on anticoagulants or antiplatelets 6m],Table2[OrgID],Details!D29,Table2[Rel_D],Details!$D$61)</f>
        <v>555</v>
      </c>
      <c r="AX29" s="432" t="e">
        <f>SUMIFS(#REF!,#REF!,Details!#REF!,#REF!,Details!$D$61)</f>
        <v>#REF!</v>
      </c>
      <c r="AY29" s="12">
        <f>SUMIFS(Table2[Not on PPI 6m],Table2[OrgID],$D29,Table2[Rel_D],$D$61)</f>
        <v>218</v>
      </c>
      <c r="AZ29" s="80">
        <f>SUMIFS(Table2[14 Not on PPI, reviewed],Table2[OrgID],$D29,Table2[Rel_D],$D$61)</f>
        <v>4</v>
      </c>
      <c r="BA29" s="88">
        <f t="shared" si="3"/>
        <v>1.834862385321101E-2</v>
      </c>
      <c r="BB29" s="358">
        <v>0.25358851674641147</v>
      </c>
    </row>
    <row r="30" spans="3:54">
      <c r="C30" s="73" t="s">
        <v>160</v>
      </c>
      <c r="D30" s="76" t="s">
        <v>79</v>
      </c>
      <c r="E30" s="450">
        <f>SUMIFS(Table2[All currently registered regular patients aged 18+],Table2[OrgID],D30,Table2[Rel_D],Details!$D$61)</f>
        <v>8734</v>
      </c>
      <c r="F30" s="433" t="e">
        <f>SUMIFS(#REF!,#REF!,C30,#REF!,Details!$D$61)</f>
        <v>#REF!</v>
      </c>
      <c r="G30" s="115">
        <f>SUMIFS(Table2[A. Patients on the diabetes register],Table2[OrgID],D30,Table2[Rel_D],Details!$D$61)</f>
        <v>430</v>
      </c>
      <c r="H30" s="116">
        <f>SUMIFS(Table2[Type 2 diabetics],Table2[OrgID],D30,Table2[Rel_D],Details!$D$61)</f>
        <v>393</v>
      </c>
      <c r="I30" s="116">
        <f>SUMIFS(Table2[1 Diabetes review recorded or proxy 12m],Table2[OrgID],$D30,Table2[Rel_D],$D$61)</f>
        <v>325</v>
      </c>
      <c r="J30" s="234">
        <f t="shared" si="0"/>
        <v>0.82697201017811706</v>
      </c>
      <c r="K30" s="241">
        <v>0.54261363636363635</v>
      </c>
      <c r="L30" s="229">
        <f>SUMIFS(Table2[Eligible for triple target],Table2[OrgID],$D30,Table2[Rel_D],$D$61)</f>
        <v>248</v>
      </c>
      <c r="M30" s="116">
        <f>SUMIFS(Table2[3 Triple target achieved],Table2[OrgID],$D30,Table2[Rel_D],$D$61)</f>
        <v>33</v>
      </c>
      <c r="N30" s="234">
        <f t="shared" si="4"/>
        <v>0.13306451612903225</v>
      </c>
      <c r="O30" s="287">
        <v>7.0175438596491224E-2</v>
      </c>
      <c r="P30" s="115">
        <f>SUMIFS(Table2[B. Patients on the COPD register],Table2[OrgID],$D30,Table2[Rel_D],$D$61)</f>
        <v>35</v>
      </c>
      <c r="Q30" s="229">
        <f>SUMIFS(Table2[4 COPD review coded or proxy (MRC) 12m],Table2[OrgID],$D30,Table2[Rel_D],$D$61)</f>
        <v>29</v>
      </c>
      <c r="R30" s="123">
        <f t="shared" si="5"/>
        <v>0.82857142857142863</v>
      </c>
      <c r="S30" s="241">
        <v>0.93939393939393945</v>
      </c>
      <c r="T30" s="116">
        <f>SUMIFS(Table2[6 CAT Score &amp; MRC scale recorded],Table2[OrgID],$D30,Table2[Rel_D],$D$61)</f>
        <v>28</v>
      </c>
      <c r="U30" s="123">
        <f t="shared" si="6"/>
        <v>0.96551724137931039</v>
      </c>
      <c r="V30" s="241">
        <v>0.93548387096774188</v>
      </c>
      <c r="W30" s="116">
        <f>SUMIFS(Table2[7 COPD action plan recorded 12m],Table2[OrgID],$D30,Table2[Rel_D],$D$61)</f>
        <v>23</v>
      </c>
      <c r="X30" s="234">
        <f t="shared" si="1"/>
        <v>0.7931034482758621</v>
      </c>
      <c r="Y30" s="249">
        <v>0.83870967741935487</v>
      </c>
      <c r="Z30" s="433">
        <f>SUMIFS(Table2[C. Patients on the asthma register],Table2[OrgID],$D30,Table2[Rel_D],$D$61)</f>
        <v>330</v>
      </c>
      <c r="AA30" s="434" t="e">
        <f>SUMIFS(#REF!,#REF!,$D30,#REF!,$D$61)</f>
        <v>#REF!</v>
      </c>
      <c r="AB30" s="2">
        <f>SUMIFS(Table2[8 Asthma review coded or proxy (inhaler technique) 12m],Table2[OrgID],$D30,Table2[Rel_D],$D$61)</f>
        <v>281</v>
      </c>
      <c r="AC30" s="95">
        <f t="shared" si="7"/>
        <v>0.85151515151515156</v>
      </c>
      <c r="AD30" s="261">
        <v>0.80243161094224924</v>
      </c>
      <c r="AE30" s="96">
        <f>SUMIFS(Table2[10 Asthma Action Plan recorded 12m],Table2[OrgID],$D30,Table2[Rel_D],$D$61)</f>
        <v>278</v>
      </c>
      <c r="AF30" s="95">
        <f t="shared" si="8"/>
        <v>0.98932384341637014</v>
      </c>
      <c r="AG30" s="261">
        <v>0.95833333333333337</v>
      </c>
      <c r="AH30" s="69">
        <f>SUMIFS(Table2[11 ACT recorded],Table2[OrgID],$D30,Table2[Rel_D],$D$61)</f>
        <v>280</v>
      </c>
      <c r="AI30" s="295">
        <f t="shared" si="2"/>
        <v>0.99644128113879005</v>
      </c>
      <c r="AJ30" s="301">
        <v>0.33333333333333331</v>
      </c>
      <c r="AK30" s="106">
        <f>SUMIFS(Table2[D. Patients on the hypertension register],Table2[OrgID],$D30,Table2[Rel_D],$D$61)</f>
        <v>764</v>
      </c>
      <c r="AL30" s="85">
        <f>SUMIFS(Table2[15 On target],Table2[OrgID],$D30,Table2[Rel_D],$D$61)</f>
        <v>391</v>
      </c>
      <c r="AM30" s="86">
        <f t="shared" si="9"/>
        <v>0.51178010471204194</v>
      </c>
      <c r="AN30" s="335">
        <v>0.32037533512064342</v>
      </c>
      <c r="AO30" s="85">
        <f>SUMIFS(Table2[Off target],Table2[OrgID],$D30,Table2[Rel_D],$D$61)</f>
        <v>373</v>
      </c>
      <c r="AP30" s="85">
        <f>SUMIFS(Table2[12 Off target, with clinical review (2)],Table2[OrgID],$D30,Table2[Rel_D],$D$61)</f>
        <v>78</v>
      </c>
      <c r="AQ30" s="86">
        <f t="shared" si="10"/>
        <v>0.20911528150134048</v>
      </c>
      <c r="AR30" s="341">
        <v>0.13609467455621302</v>
      </c>
      <c r="AS30" s="326">
        <f>SUMIFS(Table2[E. Patients on the CHD or Stroke/TIA or PAD register],Table2[OrgID],$D30,Table2[Rel_D],$D$61)</f>
        <v>150</v>
      </c>
      <c r="AT30" s="101">
        <f>SUMIFS(Table2[13 Secondary prevention statins prescribed or offered in last 12m],Table2[OrgID],$D30,Table2[Rel_D],$D$61)</f>
        <v>86</v>
      </c>
      <c r="AU30" s="86">
        <f t="shared" si="11"/>
        <v>0.57333333333333336</v>
      </c>
      <c r="AV30" s="350">
        <v>0.58620689655172409</v>
      </c>
      <c r="AW30" s="433">
        <f>SUMIFS(Table2[F. Patients on anticoagulants or antiplatelets 6m],Table2[OrgID],Details!D30,Table2[Rel_D],Details!$D$61)</f>
        <v>276</v>
      </c>
      <c r="AX30" s="434" t="e">
        <f>SUMIFS(#REF!,#REF!,Details!#REF!,#REF!,Details!$D$61)</f>
        <v>#REF!</v>
      </c>
      <c r="AY30" s="2">
        <f>SUMIFS(Table2[Not on PPI 6m],Table2[OrgID],$D30,Table2[Rel_D],$D$61)</f>
        <v>143</v>
      </c>
      <c r="AZ30" s="69">
        <f>SUMIFS(Table2[14 Not on PPI, reviewed],Table2[OrgID],$D30,Table2[Rel_D],$D$61)</f>
        <v>3</v>
      </c>
      <c r="BA30" s="86">
        <f t="shared" si="3"/>
        <v>2.097902097902098E-2</v>
      </c>
      <c r="BB30" s="356">
        <v>0.20895522388059701</v>
      </c>
    </row>
    <row r="31" spans="3:54">
      <c r="C31" s="73" t="s">
        <v>161</v>
      </c>
      <c r="D31" s="74" t="s">
        <v>80</v>
      </c>
      <c r="E31" s="450">
        <f>SUMIFS(Table2[All currently registered regular patients aged 18+],Table2[OrgID],D31,Table2[Rel_D],Details!$D$61)</f>
        <v>5550</v>
      </c>
      <c r="F31" s="433" t="e">
        <f>SUMIFS(#REF!,#REF!,C31,#REF!,Details!$D$61)</f>
        <v>#REF!</v>
      </c>
      <c r="G31" s="115">
        <f>SUMIFS(Table2[A. Patients on the diabetes register],Table2[OrgID],D31,Table2[Rel_D],Details!$D$61)</f>
        <v>359</v>
      </c>
      <c r="H31" s="116">
        <f>SUMIFS(Table2[Type 2 diabetics],Table2[OrgID],D31,Table2[Rel_D],Details!$D$61)</f>
        <v>343</v>
      </c>
      <c r="I31" s="116">
        <f>SUMIFS(Table2[1 Diabetes review recorded or proxy 12m],Table2[OrgID],$D31,Table2[Rel_D],$D$61)</f>
        <v>274</v>
      </c>
      <c r="J31" s="234">
        <f t="shared" si="0"/>
        <v>0.79883381924198249</v>
      </c>
      <c r="K31" s="241">
        <v>0.85970149253731343</v>
      </c>
      <c r="L31" s="229">
        <f>SUMIFS(Table2[Eligible for triple target],Table2[OrgID],$D31,Table2[Rel_D],$D$61)</f>
        <v>140</v>
      </c>
      <c r="M31" s="116">
        <f>SUMIFS(Table2[3 Triple target achieved],Table2[OrgID],$D31,Table2[Rel_D],$D$61)</f>
        <v>21</v>
      </c>
      <c r="N31" s="234">
        <f t="shared" si="4"/>
        <v>0.15</v>
      </c>
      <c r="O31" s="287">
        <v>0.10752688172043011</v>
      </c>
      <c r="P31" s="115">
        <f>SUMIFS(Table2[B. Patients on the COPD register],Table2[OrgID],$D31,Table2[Rel_D],$D$61)</f>
        <v>25</v>
      </c>
      <c r="Q31" s="229">
        <f>SUMIFS(Table2[4 COPD review coded or proxy (MRC) 12m],Table2[OrgID],$D31,Table2[Rel_D],$D$61)</f>
        <v>20</v>
      </c>
      <c r="R31" s="123">
        <f t="shared" si="5"/>
        <v>0.8</v>
      </c>
      <c r="S31" s="241">
        <v>0.91666666666666663</v>
      </c>
      <c r="T31" s="116">
        <f>SUMIFS(Table2[6 CAT Score &amp; MRC scale recorded],Table2[OrgID],$D31,Table2[Rel_D],$D$61)</f>
        <v>20</v>
      </c>
      <c r="U31" s="123">
        <f t="shared" si="6"/>
        <v>1</v>
      </c>
      <c r="V31" s="241">
        <v>1</v>
      </c>
      <c r="W31" s="116">
        <f>SUMIFS(Table2[7 COPD action plan recorded 12m],Table2[OrgID],$D31,Table2[Rel_D],$D$61)</f>
        <v>14</v>
      </c>
      <c r="X31" s="234">
        <f t="shared" si="1"/>
        <v>0.7</v>
      </c>
      <c r="Y31" s="249">
        <v>0.54545454545454541</v>
      </c>
      <c r="Z31" s="433">
        <f>SUMIFS(Table2[C. Patients on the asthma register],Table2[OrgID],$D31,Table2[Rel_D],$D$61)</f>
        <v>240</v>
      </c>
      <c r="AA31" s="434" t="e">
        <f>SUMIFS(#REF!,#REF!,$D31,#REF!,$D$61)</f>
        <v>#REF!</v>
      </c>
      <c r="AB31" s="2">
        <f>SUMIFS(Table2[8 Asthma review coded or proxy (inhaler technique) 12m],Table2[OrgID],$D31,Table2[Rel_D],$D$61)</f>
        <v>177</v>
      </c>
      <c r="AC31" s="93">
        <f t="shared" si="7"/>
        <v>0.73750000000000004</v>
      </c>
      <c r="AD31" s="260">
        <v>0.85964912280701755</v>
      </c>
      <c r="AE31" s="94">
        <f>SUMIFS(Table2[10 Asthma Action Plan recorded 12m],Table2[OrgID],$D31,Table2[Rel_D],$D$61)</f>
        <v>174</v>
      </c>
      <c r="AF31" s="93">
        <f t="shared" si="8"/>
        <v>0.98305084745762716</v>
      </c>
      <c r="AG31" s="260">
        <v>0.91326530612244894</v>
      </c>
      <c r="AH31" s="69">
        <f>SUMIFS(Table2[11 ACT recorded],Table2[OrgID],$D31,Table2[Rel_D],$D$61)</f>
        <v>174</v>
      </c>
      <c r="AI31" s="293">
        <f t="shared" si="2"/>
        <v>0.98305084745762716</v>
      </c>
      <c r="AJ31" s="300">
        <v>0.4642857142857143</v>
      </c>
      <c r="AK31" s="105">
        <f>SUMIFS(Table2[D. Patients on the hypertension register],Table2[OrgID],$D31,Table2[Rel_D],$D$61)</f>
        <v>585</v>
      </c>
      <c r="AL31" s="83">
        <f>SUMIFS(Table2[15 On target],Table2[OrgID],$D31,Table2[Rel_D],$D$61)</f>
        <v>340</v>
      </c>
      <c r="AM31" s="84">
        <f t="shared" si="9"/>
        <v>0.58119658119658124</v>
      </c>
      <c r="AN31" s="334">
        <v>0.58925476603119586</v>
      </c>
      <c r="AO31" s="83">
        <f>SUMIFS(Table2[Off target],Table2[OrgID],$D31,Table2[Rel_D],$D$61)</f>
        <v>245</v>
      </c>
      <c r="AP31" s="83">
        <f>SUMIFS(Table2[12 Off target, with clinical review (2)],Table2[OrgID],$D31,Table2[Rel_D],$D$61)</f>
        <v>105</v>
      </c>
      <c r="AQ31" s="84">
        <f t="shared" si="10"/>
        <v>0.42857142857142855</v>
      </c>
      <c r="AR31" s="340">
        <v>0.40084388185654007</v>
      </c>
      <c r="AS31" s="322">
        <f>SUMIFS(Table2[E. Patients on the CHD or Stroke/TIA or PAD register],Table2[OrgID],$D31,Table2[Rel_D],$D$61)</f>
        <v>143</v>
      </c>
      <c r="AT31" s="100">
        <f>SUMIFS(Table2[13 Secondary prevention statins prescribed or offered in last 12m],Table2[OrgID],$D31,Table2[Rel_D],$D$61)</f>
        <v>91</v>
      </c>
      <c r="AU31" s="84">
        <f t="shared" si="11"/>
        <v>0.63636363636363635</v>
      </c>
      <c r="AV31" s="351">
        <v>0.51470588235294112</v>
      </c>
      <c r="AW31" s="433">
        <f>SUMIFS(Table2[F. Patients on anticoagulants or antiplatelets 6m],Table2[OrgID],Details!D31,Table2[Rel_D],Details!$D$61)</f>
        <v>206</v>
      </c>
      <c r="AX31" s="434" t="e">
        <f>SUMIFS(#REF!,#REF!,Details!#REF!,#REF!,Details!$D$61)</f>
        <v>#REF!</v>
      </c>
      <c r="AY31" s="2">
        <f>SUMIFS(Table2[Not on PPI 6m],Table2[OrgID],$D31,Table2[Rel_D],$D$61)</f>
        <v>97</v>
      </c>
      <c r="AZ31" s="69">
        <f>SUMIFS(Table2[14 Not on PPI, reviewed],Table2[OrgID],$D31,Table2[Rel_D],$D$61)</f>
        <v>1</v>
      </c>
      <c r="BA31" s="84">
        <f t="shared" si="3"/>
        <v>1.0309278350515464E-2</v>
      </c>
      <c r="BB31" s="356">
        <v>0.17475728155339806</v>
      </c>
    </row>
    <row r="32" spans="3:54">
      <c r="C32" s="73" t="s">
        <v>162</v>
      </c>
      <c r="D32" s="74" t="s">
        <v>81</v>
      </c>
      <c r="E32" s="450">
        <f>SUMIFS(Table2[All currently registered regular patients aged 18+],Table2[OrgID],D32,Table2[Rel_D],Details!$D$61)</f>
        <v>2808</v>
      </c>
      <c r="F32" s="433" t="e">
        <f>SUMIFS(#REF!,#REF!,C32,#REF!,Details!$D$61)</f>
        <v>#REF!</v>
      </c>
      <c r="G32" s="115">
        <f>SUMIFS(Table2[A. Patients on the diabetes register],Table2[OrgID],D32,Table2[Rel_D],Details!$D$61)</f>
        <v>221</v>
      </c>
      <c r="H32" s="116">
        <f>SUMIFS(Table2[Type 2 diabetics],Table2[OrgID],D32,Table2[Rel_D],Details!$D$61)</f>
        <v>206</v>
      </c>
      <c r="I32" s="116">
        <f>SUMIFS(Table2[1 Diabetes review recorded or proxy 12m],Table2[OrgID],$D32,Table2[Rel_D],$D$61)</f>
        <v>91</v>
      </c>
      <c r="J32" s="234">
        <f t="shared" si="0"/>
        <v>0.44174757281553401</v>
      </c>
      <c r="K32" s="241">
        <v>0.18324607329842932</v>
      </c>
      <c r="L32" s="229">
        <f>SUMIFS(Table2[Eligible for triple target],Table2[OrgID],$D32,Table2[Rel_D],$D$61)</f>
        <v>163</v>
      </c>
      <c r="M32" s="116">
        <f>SUMIFS(Table2[3 Triple target achieved],Table2[OrgID],$D32,Table2[Rel_D],$D$61)</f>
        <v>22</v>
      </c>
      <c r="N32" s="234">
        <f t="shared" si="4"/>
        <v>0.13496932515337423</v>
      </c>
      <c r="O32" s="287">
        <v>0.10559006211180125</v>
      </c>
      <c r="P32" s="115">
        <f>SUMIFS(Table2[B. Patients on the COPD register],Table2[OrgID],$D32,Table2[Rel_D],$D$61)</f>
        <v>14</v>
      </c>
      <c r="Q32" s="229">
        <f>SUMIFS(Table2[4 COPD review coded or proxy (MRC) 12m],Table2[OrgID],$D32,Table2[Rel_D],$D$61)</f>
        <v>10</v>
      </c>
      <c r="R32" s="123">
        <f t="shared" si="5"/>
        <v>0.7142857142857143</v>
      </c>
      <c r="S32" s="241">
        <v>0.7142857142857143</v>
      </c>
      <c r="T32" s="116">
        <f>SUMIFS(Table2[6 CAT Score &amp; MRC scale recorded],Table2[OrgID],$D32,Table2[Rel_D],$D$61)</f>
        <v>10</v>
      </c>
      <c r="U32" s="123">
        <f t="shared" si="6"/>
        <v>1</v>
      </c>
      <c r="V32" s="241">
        <v>1</v>
      </c>
      <c r="W32" s="116">
        <f>SUMIFS(Table2[7 COPD action plan recorded 12m],Table2[OrgID],$D32,Table2[Rel_D],$D$61)</f>
        <v>5</v>
      </c>
      <c r="X32" s="234">
        <f t="shared" si="1"/>
        <v>0.5</v>
      </c>
      <c r="Y32" s="249">
        <v>0.8</v>
      </c>
      <c r="Z32" s="433">
        <f>SUMIFS(Table2[C. Patients on the asthma register],Table2[OrgID],$D32,Table2[Rel_D],$D$61)</f>
        <v>96</v>
      </c>
      <c r="AA32" s="434" t="e">
        <f>SUMIFS(#REF!,#REF!,$D32,#REF!,$D$61)</f>
        <v>#REF!</v>
      </c>
      <c r="AB32" s="2">
        <f>SUMIFS(Table2[8 Asthma review coded or proxy (inhaler technique) 12m],Table2[OrgID],$D32,Table2[Rel_D],$D$61)</f>
        <v>72</v>
      </c>
      <c r="AC32" s="93">
        <f t="shared" si="7"/>
        <v>0.75</v>
      </c>
      <c r="AD32" s="260">
        <v>0.68085106382978722</v>
      </c>
      <c r="AE32" s="94">
        <f>SUMIFS(Table2[10 Asthma Action Plan recorded 12m],Table2[OrgID],$D32,Table2[Rel_D],$D$61)</f>
        <v>71</v>
      </c>
      <c r="AF32" s="93">
        <f t="shared" si="8"/>
        <v>0.98611111111111116</v>
      </c>
      <c r="AG32" s="260">
        <v>0.78125</v>
      </c>
      <c r="AH32" s="69">
        <f>SUMIFS(Table2[11 ACT recorded],Table2[OrgID],$D32,Table2[Rel_D],$D$61)</f>
        <v>71</v>
      </c>
      <c r="AI32" s="293">
        <f t="shared" si="2"/>
        <v>0.98611111111111116</v>
      </c>
      <c r="AJ32" s="300">
        <v>0.671875</v>
      </c>
      <c r="AK32" s="105">
        <f>SUMIFS(Table2[D. Patients on the hypertension register],Table2[OrgID],$D32,Table2[Rel_D],$D$61)</f>
        <v>351</v>
      </c>
      <c r="AL32" s="83">
        <f>SUMIFS(Table2[15 On target],Table2[OrgID],$D32,Table2[Rel_D],$D$61)</f>
        <v>194</v>
      </c>
      <c r="AM32" s="84">
        <f t="shared" si="9"/>
        <v>0.55270655270655267</v>
      </c>
      <c r="AN32" s="334">
        <v>0.3284457478005865</v>
      </c>
      <c r="AO32" s="83">
        <f>SUMIFS(Table2[Off target],Table2[OrgID],$D32,Table2[Rel_D],$D$61)</f>
        <v>157</v>
      </c>
      <c r="AP32" s="83">
        <f>SUMIFS(Table2[12 Off target, with clinical review (2)],Table2[OrgID],$D32,Table2[Rel_D],$D$61)</f>
        <v>70</v>
      </c>
      <c r="AQ32" s="84">
        <f t="shared" si="10"/>
        <v>0.44585987261146498</v>
      </c>
      <c r="AR32" s="340">
        <v>0.10043668122270742</v>
      </c>
      <c r="AS32" s="322">
        <f>SUMIFS(Table2[E. Patients on the CHD or Stroke/TIA or PAD register],Table2[OrgID],$D32,Table2[Rel_D],$D$61)</f>
        <v>63</v>
      </c>
      <c r="AT32" s="100">
        <f>SUMIFS(Table2[13 Secondary prevention statins prescribed or offered in last 12m],Table2[OrgID],$D32,Table2[Rel_D],$D$61)</f>
        <v>29</v>
      </c>
      <c r="AU32" s="84">
        <f t="shared" si="11"/>
        <v>0.46031746031746029</v>
      </c>
      <c r="AV32" s="351">
        <v>0.44444444444444442</v>
      </c>
      <c r="AW32" s="433">
        <f>SUMIFS(Table2[F. Patients on anticoagulants or antiplatelets 6m],Table2[OrgID],Details!D32,Table2[Rel_D],Details!$D$61)</f>
        <v>135</v>
      </c>
      <c r="AX32" s="434" t="e">
        <f>SUMIFS(#REF!,#REF!,Details!#REF!,#REF!,Details!$D$61)</f>
        <v>#REF!</v>
      </c>
      <c r="AY32" s="2">
        <f>SUMIFS(Table2[Not on PPI 6m],Table2[OrgID],$D32,Table2[Rel_D],$D$61)</f>
        <v>54</v>
      </c>
      <c r="AZ32" s="69">
        <f>SUMIFS(Table2[14 Not on PPI, reviewed],Table2[OrgID],$D32,Table2[Rel_D],$D$61)</f>
        <v>4</v>
      </c>
      <c r="BA32" s="84">
        <f t="shared" si="3"/>
        <v>7.407407407407407E-2</v>
      </c>
      <c r="BB32" s="356">
        <v>0.10169491525423729</v>
      </c>
    </row>
    <row r="33" spans="3:54">
      <c r="C33" s="73" t="s">
        <v>163</v>
      </c>
      <c r="D33" s="74" t="s">
        <v>82</v>
      </c>
      <c r="E33" s="450">
        <f>SUMIFS(Table2[All currently registered regular patients aged 18+],Table2[OrgID],D33,Table2[Rel_D],Details!$D$61)</f>
        <v>6361</v>
      </c>
      <c r="F33" s="433" t="e">
        <f>SUMIFS(#REF!,#REF!,C33,#REF!,Details!$D$61)</f>
        <v>#REF!</v>
      </c>
      <c r="G33" s="115">
        <f>SUMIFS(Table2[A. Patients on the diabetes register],Table2[OrgID],D33,Table2[Rel_D],Details!$D$61)</f>
        <v>514</v>
      </c>
      <c r="H33" s="116">
        <f>SUMIFS(Table2[Type 2 diabetics],Table2[OrgID],D33,Table2[Rel_D],Details!$D$61)</f>
        <v>490</v>
      </c>
      <c r="I33" s="116">
        <f>SUMIFS(Table2[1 Diabetes review recorded or proxy 12m],Table2[OrgID],$D33,Table2[Rel_D],$D$61)</f>
        <v>290</v>
      </c>
      <c r="J33" s="234">
        <f t="shared" si="0"/>
        <v>0.59183673469387754</v>
      </c>
      <c r="K33" s="241">
        <v>0.50107526881720432</v>
      </c>
      <c r="L33" s="229">
        <f>SUMIFS(Table2[Eligible for triple target],Table2[OrgID],$D33,Table2[Rel_D],$D$61)</f>
        <v>359</v>
      </c>
      <c r="M33" s="116">
        <f>SUMIFS(Table2[3 Triple target achieved],Table2[OrgID],$D33,Table2[Rel_D],$D$61)</f>
        <v>44</v>
      </c>
      <c r="N33" s="234">
        <f t="shared" si="4"/>
        <v>0.12256267409470752</v>
      </c>
      <c r="O33" s="287">
        <v>0.1</v>
      </c>
      <c r="P33" s="115">
        <f>SUMIFS(Table2[B. Patients on the COPD register],Table2[OrgID],$D33,Table2[Rel_D],$D$61)</f>
        <v>57</v>
      </c>
      <c r="Q33" s="229">
        <f>SUMIFS(Table2[4 COPD review coded or proxy (MRC) 12m],Table2[OrgID],$D33,Table2[Rel_D],$D$61)</f>
        <v>44</v>
      </c>
      <c r="R33" s="123">
        <f t="shared" si="5"/>
        <v>0.77192982456140347</v>
      </c>
      <c r="S33" s="241">
        <v>0.78688524590163933</v>
      </c>
      <c r="T33" s="116">
        <f>SUMIFS(Table2[6 CAT Score &amp; MRC scale recorded],Table2[OrgID],$D33,Table2[Rel_D],$D$61)</f>
        <v>39</v>
      </c>
      <c r="U33" s="123">
        <f t="shared" si="6"/>
        <v>0.88636363636363635</v>
      </c>
      <c r="V33" s="241">
        <v>0.9375</v>
      </c>
      <c r="W33" s="116">
        <f>SUMIFS(Table2[7 COPD action plan recorded 12m],Table2[OrgID],$D33,Table2[Rel_D],$D$61)</f>
        <v>36</v>
      </c>
      <c r="X33" s="234">
        <f t="shared" si="1"/>
        <v>0.81818181818181823</v>
      </c>
      <c r="Y33" s="249">
        <v>0.89583333333333337</v>
      </c>
      <c r="Z33" s="433">
        <f>SUMIFS(Table2[C. Patients on the asthma register],Table2[OrgID],$D33,Table2[Rel_D],$D$61)</f>
        <v>324</v>
      </c>
      <c r="AA33" s="434" t="e">
        <f>SUMIFS(#REF!,#REF!,$D33,#REF!,$D$61)</f>
        <v>#REF!</v>
      </c>
      <c r="AB33" s="2">
        <f>SUMIFS(Table2[8 Asthma review coded or proxy (inhaler technique) 12m],Table2[OrgID],$D33,Table2[Rel_D],$D$61)</f>
        <v>235</v>
      </c>
      <c r="AC33" s="93">
        <f t="shared" si="7"/>
        <v>0.72530864197530864</v>
      </c>
      <c r="AD33" s="260">
        <v>0.74705882352941178</v>
      </c>
      <c r="AE33" s="94">
        <f>SUMIFS(Table2[10 Asthma Action Plan recorded 12m],Table2[OrgID],$D33,Table2[Rel_D],$D$61)</f>
        <v>235</v>
      </c>
      <c r="AF33" s="93">
        <f t="shared" si="8"/>
        <v>1</v>
      </c>
      <c r="AG33" s="260">
        <v>0.99606299212598426</v>
      </c>
      <c r="AH33" s="69">
        <f>SUMIFS(Table2[11 ACT recorded],Table2[OrgID],$D33,Table2[Rel_D],$D$61)</f>
        <v>235</v>
      </c>
      <c r="AI33" s="293">
        <f t="shared" si="2"/>
        <v>1</v>
      </c>
      <c r="AJ33" s="300">
        <v>0.90944881889763785</v>
      </c>
      <c r="AK33" s="105">
        <f>SUMIFS(Table2[D. Patients on the hypertension register],Table2[OrgID],$D33,Table2[Rel_D],$D$61)</f>
        <v>688</v>
      </c>
      <c r="AL33" s="83">
        <f>SUMIFS(Table2[15 On target],Table2[OrgID],$D33,Table2[Rel_D],$D$61)</f>
        <v>329</v>
      </c>
      <c r="AM33" s="84">
        <f t="shared" si="9"/>
        <v>0.47819767441860467</v>
      </c>
      <c r="AN33" s="334">
        <v>0.31428571428571428</v>
      </c>
      <c r="AO33" s="83">
        <f>SUMIFS(Table2[Off target],Table2[OrgID],$D33,Table2[Rel_D],$D$61)</f>
        <v>359</v>
      </c>
      <c r="AP33" s="83">
        <f>SUMIFS(Table2[12 Off target, with clinical review (2)],Table2[OrgID],$D33,Table2[Rel_D],$D$61)</f>
        <v>94</v>
      </c>
      <c r="AQ33" s="84">
        <f t="shared" si="10"/>
        <v>0.2618384401114206</v>
      </c>
      <c r="AR33" s="340">
        <v>7.7083333333333337E-2</v>
      </c>
      <c r="AS33" s="322">
        <f>SUMIFS(Table2[E. Patients on the CHD or Stroke/TIA or PAD register],Table2[OrgID],$D33,Table2[Rel_D],$D$61)</f>
        <v>192</v>
      </c>
      <c r="AT33" s="100">
        <f>SUMIFS(Table2[13 Secondary prevention statins prescribed or offered in last 12m],Table2[OrgID],$D33,Table2[Rel_D],$D$61)</f>
        <v>91</v>
      </c>
      <c r="AU33" s="84">
        <f t="shared" si="11"/>
        <v>0.47395833333333331</v>
      </c>
      <c r="AV33" s="351">
        <v>0.47643979057591623</v>
      </c>
      <c r="AW33" s="433">
        <f>SUMIFS(Table2[F. Patients on anticoagulants or antiplatelets 6m],Table2[OrgID],Details!D33,Table2[Rel_D],Details!$D$61)</f>
        <v>318</v>
      </c>
      <c r="AX33" s="434" t="e">
        <f>SUMIFS(#REF!,#REF!,Details!#REF!,#REF!,Details!$D$61)</f>
        <v>#REF!</v>
      </c>
      <c r="AY33" s="2">
        <f>SUMIFS(Table2[Not on PPI 6m],Table2[OrgID],$D33,Table2[Rel_D],$D$61)</f>
        <v>133</v>
      </c>
      <c r="AZ33" s="69">
        <f>SUMIFS(Table2[14 Not on PPI, reviewed],Table2[OrgID],$D33,Table2[Rel_D],$D$61)</f>
        <v>0</v>
      </c>
      <c r="BA33" s="84">
        <f t="shared" si="3"/>
        <v>0</v>
      </c>
      <c r="BB33" s="356">
        <v>0.18831168831168832</v>
      </c>
    </row>
    <row r="34" spans="3:54">
      <c r="C34" s="73" t="s">
        <v>164</v>
      </c>
      <c r="D34" s="74" t="s">
        <v>83</v>
      </c>
      <c r="E34" s="450">
        <f>SUMIFS(Table2[All currently registered regular patients aged 18+],Table2[OrgID],D34,Table2[Rel_D],Details!$D$61)</f>
        <v>4175</v>
      </c>
      <c r="F34" s="433" t="e">
        <f>SUMIFS(#REF!,#REF!,C34,#REF!,Details!$D$61)</f>
        <v>#REF!</v>
      </c>
      <c r="G34" s="115">
        <f>SUMIFS(Table2[A. Patients on the diabetes register],Table2[OrgID],D34,Table2[Rel_D],Details!$D$61)</f>
        <v>372</v>
      </c>
      <c r="H34" s="116">
        <f>SUMIFS(Table2[Type 2 diabetics],Table2[OrgID],D34,Table2[Rel_D],Details!$D$61)</f>
        <v>356</v>
      </c>
      <c r="I34" s="116">
        <f>SUMIFS(Table2[1 Diabetes review recorded or proxy 12m],Table2[OrgID],$D34,Table2[Rel_D],$D$61)</f>
        <v>179</v>
      </c>
      <c r="J34" s="234">
        <f t="shared" si="0"/>
        <v>0.5028089887640449</v>
      </c>
      <c r="K34" s="241">
        <v>7.9178885630498533E-2</v>
      </c>
      <c r="L34" s="229">
        <f>SUMIFS(Table2[Eligible for triple target],Table2[OrgID],$D34,Table2[Rel_D],$D$61)</f>
        <v>141</v>
      </c>
      <c r="M34" s="116">
        <f>SUMIFS(Table2[3 Triple target achieved],Table2[OrgID],$D34,Table2[Rel_D],$D$61)</f>
        <v>24</v>
      </c>
      <c r="N34" s="234">
        <f t="shared" si="4"/>
        <v>0.1702127659574468</v>
      </c>
      <c r="O34" s="287">
        <v>9.2783505154639179E-2</v>
      </c>
      <c r="P34" s="115">
        <f>SUMIFS(Table2[B. Patients on the COPD register],Table2[OrgID],$D34,Table2[Rel_D],$D$61)</f>
        <v>36</v>
      </c>
      <c r="Q34" s="229">
        <f>SUMIFS(Table2[4 COPD review coded or proxy (MRC) 12m],Table2[OrgID],$D34,Table2[Rel_D],$D$61)</f>
        <v>21</v>
      </c>
      <c r="R34" s="123">
        <f t="shared" si="5"/>
        <v>0.58333333333333337</v>
      </c>
      <c r="S34" s="241">
        <v>0.30555555555555558</v>
      </c>
      <c r="T34" s="116">
        <f>SUMIFS(Table2[6 CAT Score &amp; MRC scale recorded],Table2[OrgID],$D34,Table2[Rel_D],$D$61)</f>
        <v>18</v>
      </c>
      <c r="U34" s="123">
        <f t="shared" si="6"/>
        <v>0.8571428571428571</v>
      </c>
      <c r="V34" s="241">
        <v>0</v>
      </c>
      <c r="W34" s="116">
        <f>SUMIFS(Table2[7 COPD action plan recorded 12m],Table2[OrgID],$D34,Table2[Rel_D],$D$61)</f>
        <v>0</v>
      </c>
      <c r="X34" s="234">
        <f t="shared" si="1"/>
        <v>0</v>
      </c>
      <c r="Y34" s="249">
        <v>0</v>
      </c>
      <c r="Z34" s="433">
        <f>SUMIFS(Table2[C. Patients on the asthma register],Table2[OrgID],$D34,Table2[Rel_D],$D$61)</f>
        <v>230</v>
      </c>
      <c r="AA34" s="434" t="e">
        <f>SUMIFS(#REF!,#REF!,$D34,#REF!,$D$61)</f>
        <v>#REF!</v>
      </c>
      <c r="AB34" s="2">
        <f>SUMIFS(Table2[8 Asthma review coded or proxy (inhaler technique) 12m],Table2[OrgID],$D34,Table2[Rel_D],$D$61)</f>
        <v>202</v>
      </c>
      <c r="AC34" s="93">
        <f t="shared" si="7"/>
        <v>0.87826086956521743</v>
      </c>
      <c r="AD34" s="260">
        <v>0.30882352941176472</v>
      </c>
      <c r="AE34" s="94">
        <f>SUMIFS(Table2[10 Asthma Action Plan recorded 12m],Table2[OrgID],$D34,Table2[Rel_D],$D$61)</f>
        <v>197</v>
      </c>
      <c r="AF34" s="93">
        <f t="shared" si="8"/>
        <v>0.97524752475247523</v>
      </c>
      <c r="AG34" s="260">
        <v>0.47619047619047616</v>
      </c>
      <c r="AH34" s="69">
        <f>SUMIFS(Table2[11 ACT recorded],Table2[OrgID],$D34,Table2[Rel_D],$D$61)</f>
        <v>197</v>
      </c>
      <c r="AI34" s="293">
        <f t="shared" si="2"/>
        <v>0.97524752475247523</v>
      </c>
      <c r="AJ34" s="300">
        <v>0.19047619047619047</v>
      </c>
      <c r="AK34" s="105">
        <f>SUMIFS(Table2[D. Patients on the hypertension register],Table2[OrgID],$D34,Table2[Rel_D],$D$61)</f>
        <v>677</v>
      </c>
      <c r="AL34" s="83">
        <f>SUMIFS(Table2[15 On target],Table2[OrgID],$D34,Table2[Rel_D],$D$61)</f>
        <v>322</v>
      </c>
      <c r="AM34" s="84">
        <f>IFERROR(AL34/AK34, "-")</f>
        <v>0.4756277695716396</v>
      </c>
      <c r="AN34" s="334">
        <v>0.30839694656488548</v>
      </c>
      <c r="AO34" s="83">
        <f>SUMIFS(Table2[Off target],Table2[OrgID],$D34,Table2[Rel_D],$D$61)</f>
        <v>355</v>
      </c>
      <c r="AP34" s="83">
        <f>SUMIFS(Table2[12 Off target, with clinical review (2)],Table2[OrgID],$D34,Table2[Rel_D],$D$61)</f>
        <v>55</v>
      </c>
      <c r="AQ34" s="84">
        <f t="shared" si="10"/>
        <v>0.15492957746478872</v>
      </c>
      <c r="AR34" s="340">
        <v>4.194260485651214E-2</v>
      </c>
      <c r="AS34" s="322">
        <f>SUMIFS(Table2[E. Patients on the CHD or Stroke/TIA or PAD register],Table2[OrgID],$D34,Table2[Rel_D],$D$61)</f>
        <v>132</v>
      </c>
      <c r="AT34" s="100">
        <f>SUMIFS(Table2[13 Secondary prevention statins prescribed or offered in last 12m],Table2[OrgID],$D34,Table2[Rel_D],$D$61)</f>
        <v>68</v>
      </c>
      <c r="AU34" s="84">
        <f t="shared" si="11"/>
        <v>0.51515151515151514</v>
      </c>
      <c r="AV34" s="351">
        <v>0.41538461538461541</v>
      </c>
      <c r="AW34" s="433">
        <f>SUMIFS(Table2[F. Patients on anticoagulants or antiplatelets 6m],Table2[OrgID],Details!D34,Table2[Rel_D],Details!$D$61)</f>
        <v>210</v>
      </c>
      <c r="AX34" s="434" t="e">
        <f>SUMIFS(#REF!,#REF!,Details!#REF!,#REF!,Details!$D$61)</f>
        <v>#REF!</v>
      </c>
      <c r="AY34" s="2">
        <f>SUMIFS(Table2[Not on PPI 6m],Table2[OrgID],$D34,Table2[Rel_D],$D$61)</f>
        <v>114</v>
      </c>
      <c r="AZ34" s="69">
        <f>SUMIFS(Table2[14 Not on PPI, reviewed],Table2[OrgID],$D34,Table2[Rel_D],$D$61)</f>
        <v>1</v>
      </c>
      <c r="BA34" s="84">
        <f t="shared" si="3"/>
        <v>8.771929824561403E-3</v>
      </c>
      <c r="BB34" s="356">
        <v>0.19491525423728814</v>
      </c>
    </row>
    <row r="35" spans="3:54" ht="15.75" thickBot="1">
      <c r="C35" s="75" t="s">
        <v>165</v>
      </c>
      <c r="D35" s="76" t="s">
        <v>63</v>
      </c>
      <c r="E35" s="455">
        <f>IF(COUNTIFS(Table2[OrgID],D35,Table2[Rel_D],Details!$D$61) =0,"-",SUMIFS(Table2[All currently registered regular patients aged 18+],Table2[OrgID],D35,Table2[Rel_D],Details!$D$61))</f>
        <v>7767</v>
      </c>
      <c r="F35" s="435" t="e">
        <f>SUMIFS(#REF!,#REF!,C35,#REF!,Details!$D$61)</f>
        <v>#REF!</v>
      </c>
      <c r="G35" s="117">
        <f>IF(COUNTIFS(Table2[OrgID],D35,Table2[Rel_D],Details!$D$61) =0,"-",SUMIFS(Table2[A. Patients on the diabetes register],Table2[OrgID],D35,Table2[Rel_D],Details!$D$61))</f>
        <v>676</v>
      </c>
      <c r="H35" s="118">
        <f>IF(COUNTIFS(Table2[OrgID],D35,Table2[Rel_D],Details!$D$61) =0,"-",SUMIFS(Table2[Type 2 diabetics],Table2[OrgID],D35,Table2[Rel_D],Details!$D$61))</f>
        <v>627</v>
      </c>
      <c r="I35" s="118">
        <f>IF(COUNTIFS(Table2[OrgID],D35,Table2[Rel_D],Details!$D$61) =0,"-",SUMIFS(Table2[1 Diabetes review recorded or proxy 12m],Table2[OrgID],$D35,Table2[Rel_D],$D$61))</f>
        <v>330</v>
      </c>
      <c r="J35" s="234">
        <f t="shared" si="0"/>
        <v>0.52631578947368418</v>
      </c>
      <c r="K35" s="242">
        <v>0.22347266881028938</v>
      </c>
      <c r="L35" s="230">
        <f>IF(COUNTIFS(Table2[OrgID],D35,Table2[Rel_D],Details!$D$61) =0,"-",SUMIFS(Table2[Eligible for triple target],Table2[OrgID],$D35,Table2[Rel_D],$D$61))</f>
        <v>439</v>
      </c>
      <c r="M35" s="118">
        <f>IF(COUNTIFS(Table2[OrgID],D35,Table2[Rel_D],Details!$D$61) =0,"-",SUMIFS(Table2[3 Triple target achieved],Table2[OrgID],$D35,Table2[Rel_D],$D$61))</f>
        <v>31</v>
      </c>
      <c r="N35" s="234">
        <f t="shared" si="4"/>
        <v>7.0615034168564919E-2</v>
      </c>
      <c r="O35" s="289">
        <v>0</v>
      </c>
      <c r="P35" s="117">
        <f>IF(COUNTIFS(Table2[OrgID],D35,Table2[Rel_D],Details!$D$61) =0,"-",SUMIFS(Table2[B. Patients on the COPD register],Table2[OrgID],$D35,Table2[Rel_D],$D$61))</f>
        <v>102</v>
      </c>
      <c r="Q35" s="230">
        <f>IF(COUNTIFS(Table2[OrgID],D35,Table2[Rel_D],Details!$D$61) =0,"-",SUMIFS(Table2[4 COPD review coded or proxy (MRC) 12m],Table2[OrgID],$D35,Table2[Rel_D],$D$61))</f>
        <v>72</v>
      </c>
      <c r="R35" s="123">
        <f t="shared" si="5"/>
        <v>0.70588235294117652</v>
      </c>
      <c r="S35" s="242">
        <v>2.7777777777777776E-2</v>
      </c>
      <c r="T35" s="118">
        <f>IF(COUNTIFS(Table2[OrgID],D35,Table2[Rel_D],Details!$D$61) =0,"-",SUMIFS(Table2[6 CAT Score &amp; MRC scale recorded],Table2[OrgID],$D35,Table2[Rel_D],$D$61))</f>
        <v>1</v>
      </c>
      <c r="U35" s="124">
        <f t="shared" si="6"/>
        <v>1.3888888888888888E-2</v>
      </c>
      <c r="V35" s="242">
        <v>3.3707865168539325E-2</v>
      </c>
      <c r="W35" s="118">
        <f>IF(COUNTIFS(Table2[OrgID],D35,Table2[Rel_D],Details!$D$61) =0,"-",SUMIFS(Table2[7 COPD action plan recorded 12m],Table2[OrgID],$D35,Table2[Rel_D],$D$61))</f>
        <v>1</v>
      </c>
      <c r="X35" s="234">
        <f t="shared" si="1"/>
        <v>1.3888888888888888E-2</v>
      </c>
      <c r="Y35" s="250">
        <v>4.49438202247191E-2</v>
      </c>
      <c r="Z35" s="435">
        <f>IF(COUNTIFS(Table2[OrgID],D35,Table2[Rel_D],Details!$D$61) =0,"-",SUMIFS(Table2[C. Patients on the asthma register],Table2[OrgID],$D35,Table2[Rel_D],$D$61))</f>
        <v>402</v>
      </c>
      <c r="AA35" s="436" t="e">
        <f>SUMIFS(#REF!,#REF!,$D35,#REF!,$D$61)</f>
        <v>#REF!</v>
      </c>
      <c r="AB35" s="3">
        <f>IF(COUNTIFS(Table2[OrgID],D35,Table2[Rel_D],Details!$D$61) =0,"-",SUMIFS(Table2[8 Asthma review coded or proxy (inhaler technique) 12m],Table2[OrgID],$D35,Table2[Rel_D],$D$61))</f>
        <v>251</v>
      </c>
      <c r="AC35" s="93">
        <f t="shared" si="7"/>
        <v>0.62437810945273631</v>
      </c>
      <c r="AD35" s="261">
        <v>0.7002518891687658</v>
      </c>
      <c r="AE35" s="188">
        <f>IF(COUNTIFS(Table2[OrgID],D35,Table2[Rel_D],Details!$D$61) =0,"-",SUMIFS(Table2[10 Asthma Action Plan recorded 12m],Table2[OrgID],$D35,Table2[Rel_D],$D$61))</f>
        <v>247</v>
      </c>
      <c r="AF35" s="93">
        <f t="shared" si="8"/>
        <v>0.98406374501992033</v>
      </c>
      <c r="AG35" s="261">
        <v>0.98201438848920863</v>
      </c>
      <c r="AH35" s="3">
        <f>IF(COUNTIFS(Table2[OrgID],D35,Table2[Rel_D],Details!$D$61) =0,"-",SUMIFS(Table2[11 ACT recorded],Table2[OrgID],$D35,Table2[Rel_D],$D$61))</f>
        <v>239</v>
      </c>
      <c r="AI35" s="293">
        <f t="shared" si="2"/>
        <v>0.952191235059761</v>
      </c>
      <c r="AJ35" s="301">
        <v>0.94964028776978415</v>
      </c>
      <c r="AK35" s="189">
        <f>IF(COUNTIFS(Table2[OrgID],D35,Table2[Rel_D],Details!$D$61) =0,"-",SUMIFS(Table2[D. Patients on the hypertension register],Table2[OrgID],$D35,Table2[Rel_D],$D$61))</f>
        <v>1324</v>
      </c>
      <c r="AL35" s="190">
        <f>IF(COUNTIFS(Table2[OrgID],D35,Table2[Rel_D],Details!$D$61) =0,"-",SUMIFS(Table2[15 On target],Table2[OrgID],$D35,Table2[Rel_D],$D$61))</f>
        <v>401</v>
      </c>
      <c r="AM35" s="84">
        <f t="shared" si="9"/>
        <v>0.30287009063444109</v>
      </c>
      <c r="AN35" s="335">
        <v>0.16666666666666666</v>
      </c>
      <c r="AO35" s="190">
        <f>IF(COUNTIFS(Table2[OrgID],D35,Table2[Rel_D],Details!$D$61) =0,"-",SUMIFS(Table2[Off target],Table2[OrgID],$D35,Table2[Rel_D],$D$61))</f>
        <v>923</v>
      </c>
      <c r="AP35" s="190">
        <f>IFERROR(IF(COUNTIFS(Table2[OrgID],D35,Table2[Rel_D],Details!$D$61) =0,"-",SUMIFS(Table2[12 Off target, with clinical review (2)],Table2[OrgID],$D35,Table2[Rel_D],$D$61)),"-")</f>
        <v>637</v>
      </c>
      <c r="AQ35" s="84">
        <f t="shared" si="10"/>
        <v>0.6901408450704225</v>
      </c>
      <c r="AR35" s="341">
        <v>0.63119266055045875</v>
      </c>
      <c r="AS35" s="323">
        <f>IF(COUNTIFS(Table2[OrgID],D35,Table2[Rel_D],Details!$D$61) =0,"-",SUMIFS(Table2[E. Patients on the CHD or Stroke/TIA or PAD register],Table2[OrgID],$D35,Table2[Rel_D],$D$61))</f>
        <v>359</v>
      </c>
      <c r="AT35" s="191">
        <f>IF(COUNTIFS(Table2[OrgID],D35,Table2[Rel_D],Details!$D$61) =0,"-",SUMIFS(Table2[13 Secondary prevention statins prescribed or offered in last 12m],Table2[OrgID],$D35,Table2[Rel_D],$D$61))</f>
        <v>141</v>
      </c>
      <c r="AU35" s="84">
        <f t="shared" si="11"/>
        <v>0.39275766016713093</v>
      </c>
      <c r="AV35" s="350">
        <v>0.34492753623188405</v>
      </c>
      <c r="AW35" s="435">
        <f>IF(COUNTIFS(Table2[OrgID],D35,Table2[Rel_D],Details!$D$61) =0,"-",SUMIFS(Table2[F. Patients on anticoagulants or antiplatelets 6m],Table2[OrgID],Details!D35,Table2[Rel_D],Details!$D$61))</f>
        <v>461</v>
      </c>
      <c r="AX35" s="436" t="e">
        <f>SUMIFS(#REF!,#REF!,Details!#REF!,#REF!,Details!$D$61)</f>
        <v>#REF!</v>
      </c>
      <c r="AY35" s="3">
        <f>IF(COUNTIFS(Table2[OrgID],D35,Table2[Rel_D],Details!$D$61) =0,"-",SUMIFS(Table2[Not on PPI 6m],Table2[OrgID],$D35,Table2[Rel_D],$D$61))</f>
        <v>219</v>
      </c>
      <c r="AZ35" s="3">
        <f>IF(COUNTIFS(Table2[OrgID],D35,Table2[Rel_D],Details!$D$61) =0,"-",SUMIFS(Table2[14 Not on PPI, reviewed],Table2[OrgID],$D35,Table2[Rel_D],$D$61))</f>
        <v>0</v>
      </c>
      <c r="BA35" s="84">
        <f t="shared" si="3"/>
        <v>0</v>
      </c>
      <c r="BB35" s="357">
        <v>0.78703703703703709</v>
      </c>
    </row>
    <row r="36" spans="3:54" ht="18" customHeight="1" thickBot="1">
      <c r="C36" s="17" t="s">
        <v>166</v>
      </c>
      <c r="D36" s="18" t="s">
        <v>84</v>
      </c>
      <c r="E36" s="447">
        <f t="shared" ref="E36:F36" si="24">SUM(E29:E35)</f>
        <v>46950</v>
      </c>
      <c r="F36" s="448" t="e">
        <f t="shared" si="24"/>
        <v>#REF!</v>
      </c>
      <c r="G36" s="119">
        <f>SUM(G29:G35)</f>
        <v>3359</v>
      </c>
      <c r="H36" s="120">
        <f t="shared" ref="H36:W36" si="25">SUM(H29:H35)</f>
        <v>3142</v>
      </c>
      <c r="I36" s="120">
        <f t="shared" si="25"/>
        <v>2036</v>
      </c>
      <c r="J36" s="235">
        <f t="shared" si="0"/>
        <v>0.64799490770210055</v>
      </c>
      <c r="K36" s="235">
        <v>0.39120029455081001</v>
      </c>
      <c r="L36" s="239">
        <f t="shared" si="25"/>
        <v>2014</v>
      </c>
      <c r="M36" s="120">
        <f t="shared" si="25"/>
        <v>255</v>
      </c>
      <c r="N36" s="235">
        <f t="shared" si="4"/>
        <v>0.12661370407149949</v>
      </c>
      <c r="O36" s="235">
        <v>7.9154242342098127E-2</v>
      </c>
      <c r="P36" s="364">
        <f t="shared" si="25"/>
        <v>374</v>
      </c>
      <c r="Q36" s="217">
        <f t="shared" si="25"/>
        <v>288</v>
      </c>
      <c r="R36" s="128">
        <f t="shared" si="5"/>
        <v>0.77005347593582885</v>
      </c>
      <c r="S36" s="128">
        <v>0.59319526627218933</v>
      </c>
      <c r="T36" s="127">
        <f t="shared" si="25"/>
        <v>205</v>
      </c>
      <c r="U36" s="128">
        <f t="shared" si="6"/>
        <v>0.71180555555555558</v>
      </c>
      <c r="V36" s="251">
        <v>0.61806981519507187</v>
      </c>
      <c r="W36" s="127">
        <f t="shared" si="25"/>
        <v>168</v>
      </c>
      <c r="X36" s="243">
        <f t="shared" si="1"/>
        <v>0.58333333333333337</v>
      </c>
      <c r="Y36" s="254">
        <v>0.48870636550308011</v>
      </c>
      <c r="Z36" s="445">
        <f t="shared" ref="Z36:AA36" si="26">SUM(Z29:Z35)</f>
        <v>2236</v>
      </c>
      <c r="AA36" s="446" t="e">
        <f t="shared" si="26"/>
        <v>#REF!</v>
      </c>
      <c r="AB36" s="130">
        <f>SUM(AB29:AB35)</f>
        <v>1631</v>
      </c>
      <c r="AC36" s="131">
        <f t="shared" si="7"/>
        <v>0.72942754919499109</v>
      </c>
      <c r="AD36" s="131">
        <v>0.59523212045169382</v>
      </c>
      <c r="AE36" s="132">
        <f>SUM(AE29:AE35)</f>
        <v>1612</v>
      </c>
      <c r="AF36" s="131">
        <f t="shared" si="8"/>
        <v>0.98835070508890255</v>
      </c>
      <c r="AG36" s="131">
        <v>0.88912310286677909</v>
      </c>
      <c r="AH36" s="133">
        <f>SUM(AH29:AH35)</f>
        <v>1603</v>
      </c>
      <c r="AI36" s="294">
        <f t="shared" si="2"/>
        <v>0.98283261802575106</v>
      </c>
      <c r="AJ36" s="134">
        <v>0.56829679595278249</v>
      </c>
      <c r="AK36" s="137">
        <f>SUM(AK29:AK35)</f>
        <v>5807</v>
      </c>
      <c r="AL36" s="138">
        <f>SUM(AL29:AL35)</f>
        <v>2682</v>
      </c>
      <c r="AM36" s="139">
        <f t="shared" si="9"/>
        <v>0.46185638023075598</v>
      </c>
      <c r="AN36" s="139">
        <v>0.30158110482139372</v>
      </c>
      <c r="AO36" s="138">
        <f>SUM(AO29:AO35)</f>
        <v>3125</v>
      </c>
      <c r="AP36" s="138">
        <f>SUM(AP29:AP35)</f>
        <v>1179</v>
      </c>
      <c r="AQ36" s="139">
        <f t="shared" si="10"/>
        <v>0.37728</v>
      </c>
      <c r="AR36" s="306">
        <v>0.18278367803242035</v>
      </c>
      <c r="AS36" s="324">
        <f>SUM(AS29:AS35)</f>
        <v>1398</v>
      </c>
      <c r="AT36" s="143">
        <f>SUM(AT29:AT35)</f>
        <v>681</v>
      </c>
      <c r="AU36" s="309">
        <f t="shared" si="11"/>
        <v>0.48712446351931332</v>
      </c>
      <c r="AV36" s="312">
        <v>0.45669623996620196</v>
      </c>
      <c r="AW36" s="441">
        <f t="shared" ref="AW36:AX36" si="27">SUM(AW29:AW35)</f>
        <v>2161</v>
      </c>
      <c r="AX36" s="442" t="e">
        <f t="shared" si="27"/>
        <v>#REF!</v>
      </c>
      <c r="AY36" s="144">
        <f>SUM(AY29:AY35)</f>
        <v>978</v>
      </c>
      <c r="AZ36" s="145">
        <f>SUM(AZ29:AZ35)</f>
        <v>13</v>
      </c>
      <c r="BA36" s="315">
        <f t="shared" si="3"/>
        <v>1.3292433537832311E-2</v>
      </c>
      <c r="BB36" s="353">
        <v>0.27344632768361582</v>
      </c>
    </row>
    <row r="37" spans="3:54">
      <c r="C37" s="77" t="s">
        <v>167</v>
      </c>
      <c r="D37" s="78" t="s">
        <v>85</v>
      </c>
      <c r="E37" s="449">
        <f>SUMIFS(Table2[All currently registered regular patients aged 18+],Table2[OrgID],D37,Table2[Rel_D],Details!$D$61)</f>
        <v>5335</v>
      </c>
      <c r="F37" s="431" t="e">
        <f>SUMIFS(#REF!,#REF!,C37,#REF!,Details!$D$61)</f>
        <v>#REF!</v>
      </c>
      <c r="G37" s="121">
        <f>SUMIFS(Table2[A. Patients on the diabetes register],Table2[OrgID],D37,Table2[Rel_D],Details!$D$61)</f>
        <v>322</v>
      </c>
      <c r="H37" s="122">
        <f>SUMIFS(Table2[Type 2 diabetics],Table2[OrgID],D37,Table2[Rel_D],Details!$D$61)</f>
        <v>304</v>
      </c>
      <c r="I37" s="122">
        <f>SUMIFS(Table2[1 Diabetes review recorded or proxy 12m],Table2[OrgID],$D37,Table2[Rel_D],$D$61)</f>
        <v>208</v>
      </c>
      <c r="J37" s="237">
        <f t="shared" si="0"/>
        <v>0.68421052631578949</v>
      </c>
      <c r="K37" s="240">
        <v>0.67474048442906576</v>
      </c>
      <c r="L37" s="231">
        <f>SUMIFS(Table2[Eligible for triple target],Table2[OrgID],$D37,Table2[Rel_D],$D$61)</f>
        <v>246</v>
      </c>
      <c r="M37" s="122">
        <f>SUMIFS(Table2[3 Triple target achieved],Table2[OrgID],$D37,Table2[Rel_D],$D$61)</f>
        <v>53</v>
      </c>
      <c r="N37" s="237">
        <f t="shared" si="4"/>
        <v>0.21544715447154472</v>
      </c>
      <c r="O37" s="291">
        <v>0.27272727272727271</v>
      </c>
      <c r="P37" s="121">
        <f>SUMIFS(Table2[B. Patients on the COPD register],Table2[OrgID],$D37,Table2[Rel_D],$D$61)</f>
        <v>28</v>
      </c>
      <c r="Q37" s="231">
        <f>SUMIFS(Table2[4 COPD review coded or proxy (MRC) 12m],Table2[OrgID],$D37,Table2[Rel_D],$D$61)</f>
        <v>24</v>
      </c>
      <c r="R37" s="125">
        <f t="shared" si="5"/>
        <v>0.8571428571428571</v>
      </c>
      <c r="S37" s="240">
        <v>0.83870967741935487</v>
      </c>
      <c r="T37" s="122">
        <f>SUMIFS(Table2[6 CAT Score &amp; MRC scale recorded],Table2[OrgID],$D37,Table2[Rel_D],$D$61)</f>
        <v>24</v>
      </c>
      <c r="U37" s="125">
        <f t="shared" si="6"/>
        <v>1</v>
      </c>
      <c r="V37" s="240">
        <v>0.88461538461538458</v>
      </c>
      <c r="W37" s="122">
        <f>SUMIFS(Table2[7 COPD action plan recorded 12m],Table2[OrgID],$D37,Table2[Rel_D],$D$61)</f>
        <v>20</v>
      </c>
      <c r="X37" s="237">
        <f t="shared" si="1"/>
        <v>0.83333333333333337</v>
      </c>
      <c r="Y37" s="248">
        <v>0.88461538461538458</v>
      </c>
      <c r="Z37" s="431">
        <f>SUMIFS(Table2[C. Patients on the asthma register],Table2[OrgID],$D37,Table2[Rel_D],$D$61)</f>
        <v>257</v>
      </c>
      <c r="AA37" s="432" t="e">
        <f>SUMIFS(#REF!,#REF!,$D37,#REF!,$D$61)</f>
        <v>#REF!</v>
      </c>
      <c r="AB37" s="12">
        <f>SUMIFS(Table2[8 Asthma review coded or proxy (inhaler technique) 12m],Table2[OrgID],$D37,Table2[Rel_D],$D$61)</f>
        <v>160</v>
      </c>
      <c r="AC37" s="97">
        <f t="shared" si="7"/>
        <v>0.62256809338521402</v>
      </c>
      <c r="AD37" s="259">
        <v>0.717741935483871</v>
      </c>
      <c r="AE37" s="98">
        <f>SUMIFS(Table2[10 Asthma Action Plan recorded 12m],Table2[OrgID],$D37,Table2[Rel_D],$D$61)</f>
        <v>159</v>
      </c>
      <c r="AF37" s="97">
        <f t="shared" si="8"/>
        <v>0.99375000000000002</v>
      </c>
      <c r="AG37" s="259">
        <v>0.9831460674157303</v>
      </c>
      <c r="AH37" s="80">
        <f>SUMIFS(Table2[11 ACT recorded],Table2[OrgID],$D37,Table2[Rel_D],$D$61)</f>
        <v>158</v>
      </c>
      <c r="AI37" s="292">
        <f t="shared" si="2"/>
        <v>0.98750000000000004</v>
      </c>
      <c r="AJ37" s="299">
        <v>0.9269662921348315</v>
      </c>
      <c r="AK37" s="107">
        <f>SUMIFS(Table2[D. Patients on the hypertension register],Table2[OrgID],$D37,Table2[Rel_D],$D$61)</f>
        <v>596</v>
      </c>
      <c r="AL37" s="87">
        <f>SUMIFS(Table2[15 On target],Table2[OrgID],$D37,Table2[Rel_D],$D$61)</f>
        <v>291</v>
      </c>
      <c r="AM37" s="88">
        <f t="shared" si="9"/>
        <v>0.48825503355704697</v>
      </c>
      <c r="AN37" s="337">
        <v>0.44186046511627908</v>
      </c>
      <c r="AO37" s="87">
        <f>SUMIFS(Table2[Off target],Table2[OrgID],$D37,Table2[Rel_D],$D$61)</f>
        <v>305</v>
      </c>
      <c r="AP37" s="87">
        <f>SUMIFS(Table2[12 Off target, with clinical review (2)],Table2[OrgID],$D37,Table2[Rel_D],$D$61)</f>
        <v>48</v>
      </c>
      <c r="AQ37" s="88">
        <f t="shared" si="10"/>
        <v>0.15737704918032788</v>
      </c>
      <c r="AR37" s="342">
        <v>8.0357142857142863E-2</v>
      </c>
      <c r="AS37" s="327">
        <f>SUMIFS(Table2[E. Patients on the CHD or Stroke/TIA or PAD register],Table2[OrgID],$D37,Table2[Rel_D],$D$61)</f>
        <v>158</v>
      </c>
      <c r="AT37" s="102">
        <f>SUMIFS(Table2[13 Secondary prevention statins prescribed or offered in last 12m],Table2[OrgID],$D37,Table2[Rel_D],$D$61)</f>
        <v>70</v>
      </c>
      <c r="AU37" s="88">
        <f t="shared" si="11"/>
        <v>0.44303797468354428</v>
      </c>
      <c r="AV37" s="349">
        <v>0.41721854304635764</v>
      </c>
      <c r="AW37" s="431">
        <f>SUMIFS(Table2[F. Patients on anticoagulants or antiplatelets 6m],Table2[OrgID],Details!D37,Table2[Rel_D],Details!$D$61)</f>
        <v>278</v>
      </c>
      <c r="AX37" s="432" t="e">
        <f>SUMIFS(#REF!,#REF!,Details!#REF!,#REF!,Details!$D$61)</f>
        <v>#REF!</v>
      </c>
      <c r="AY37" s="12">
        <f>SUMIFS(Table2[Not on PPI 6m],Table2[OrgID],$D37,Table2[Rel_D],$D$61)</f>
        <v>124</v>
      </c>
      <c r="AZ37" s="80">
        <f>SUMIFS(Table2[14 Not on PPI, reviewed],Table2[OrgID],$D37,Table2[Rel_D],$D$61)</f>
        <v>19</v>
      </c>
      <c r="BA37" s="88">
        <f t="shared" si="3"/>
        <v>0.15322580645161291</v>
      </c>
      <c r="BB37" s="358">
        <v>3.2520325203252036E-2</v>
      </c>
    </row>
    <row r="38" spans="3:54">
      <c r="C38" s="73" t="s">
        <v>168</v>
      </c>
      <c r="D38" s="74" t="s">
        <v>86</v>
      </c>
      <c r="E38" s="450">
        <f>SUMIFS(Table2[All currently registered regular patients aged 18+],Table2[OrgID],D38,Table2[Rel_D],Details!$D$61)</f>
        <v>1693</v>
      </c>
      <c r="F38" s="433" t="e">
        <f>SUMIFS(#REF!,#REF!,C38,#REF!,Details!$D$61)</f>
        <v>#REF!</v>
      </c>
      <c r="G38" s="115">
        <f>SUMIFS(Table2[A. Patients on the diabetes register],Table2[OrgID],D38,Table2[Rel_D],Details!$D$61)</f>
        <v>135</v>
      </c>
      <c r="H38" s="116">
        <f>SUMIFS(Table2[Type 2 diabetics],Table2[OrgID],D38,Table2[Rel_D],Details!$D$61)</f>
        <v>131</v>
      </c>
      <c r="I38" s="116">
        <f>SUMIFS(Table2[1 Diabetes review recorded or proxy 12m],Table2[OrgID],$D38,Table2[Rel_D],$D$61)</f>
        <v>115</v>
      </c>
      <c r="J38" s="234">
        <f t="shared" si="0"/>
        <v>0.87786259541984735</v>
      </c>
      <c r="K38" s="241">
        <v>0.88709677419354838</v>
      </c>
      <c r="L38" s="229">
        <f>SUMIFS(Table2[Eligible for triple target],Table2[OrgID],$D38,Table2[Rel_D],$D$61)</f>
        <v>102</v>
      </c>
      <c r="M38" s="116">
        <f>SUMIFS(Table2[3 Triple target achieved],Table2[OrgID],$D38,Table2[Rel_D],$D$61)</f>
        <v>25</v>
      </c>
      <c r="N38" s="234">
        <f t="shared" si="4"/>
        <v>0.24509803921568626</v>
      </c>
      <c r="O38" s="287">
        <v>0.13333333333333333</v>
      </c>
      <c r="P38" s="115">
        <f>SUMIFS(Table2[B. Patients on the COPD register],Table2[OrgID],$D38,Table2[Rel_D],$D$61)</f>
        <v>20</v>
      </c>
      <c r="Q38" s="229">
        <f>SUMIFS(Table2[4 COPD review coded or proxy (MRC) 12m],Table2[OrgID],$D38,Table2[Rel_D],$D$61)</f>
        <v>19</v>
      </c>
      <c r="R38" s="123">
        <f t="shared" si="5"/>
        <v>0.95</v>
      </c>
      <c r="S38" s="241">
        <v>0.95238095238095233</v>
      </c>
      <c r="T38" s="116">
        <f>SUMIFS(Table2[6 CAT Score &amp; MRC scale recorded],Table2[OrgID],$D38,Table2[Rel_D],$D$61)</f>
        <v>8</v>
      </c>
      <c r="U38" s="123">
        <f t="shared" si="6"/>
        <v>0.42105263157894735</v>
      </c>
      <c r="V38" s="241">
        <v>0.15</v>
      </c>
      <c r="W38" s="116">
        <f>SUMIFS(Table2[7 COPD action plan recorded 12m],Table2[OrgID],$D38,Table2[Rel_D],$D$61)</f>
        <v>17</v>
      </c>
      <c r="X38" s="234">
        <f t="shared" si="1"/>
        <v>0.89473684210526316</v>
      </c>
      <c r="Y38" s="249">
        <v>0.7</v>
      </c>
      <c r="Z38" s="433">
        <f>SUMIFS(Table2[C. Patients on the asthma register],Table2[OrgID],$D38,Table2[Rel_D],$D$61)</f>
        <v>83</v>
      </c>
      <c r="AA38" s="434" t="e">
        <f>SUMIFS(#REF!,#REF!,$D38,#REF!,$D$61)</f>
        <v>#REF!</v>
      </c>
      <c r="AB38" s="2">
        <f>SUMIFS(Table2[8 Asthma review coded or proxy (inhaler technique) 12m],Table2[OrgID],$D38,Table2[Rel_D],$D$61)</f>
        <v>62</v>
      </c>
      <c r="AC38" s="93">
        <f t="shared" si="7"/>
        <v>0.74698795180722888</v>
      </c>
      <c r="AD38" s="260">
        <v>0.77906976744186052</v>
      </c>
      <c r="AE38" s="94">
        <f>SUMIFS(Table2[10 Asthma Action Plan recorded 12m],Table2[OrgID],$D38,Table2[Rel_D],$D$61)</f>
        <v>62</v>
      </c>
      <c r="AF38" s="93">
        <f t="shared" si="8"/>
        <v>1</v>
      </c>
      <c r="AG38" s="260">
        <v>1</v>
      </c>
      <c r="AH38" s="69">
        <f>SUMIFS(Table2[11 ACT recorded],Table2[OrgID],$D38,Table2[Rel_D],$D$61)</f>
        <v>62</v>
      </c>
      <c r="AI38" s="293">
        <f t="shared" si="2"/>
        <v>1</v>
      </c>
      <c r="AJ38" s="300">
        <v>0.9850746268656716</v>
      </c>
      <c r="AK38" s="105">
        <f>SUMIFS(Table2[D. Patients on the hypertension register],Table2[OrgID],$D38,Table2[Rel_D],$D$61)</f>
        <v>261</v>
      </c>
      <c r="AL38" s="83">
        <f>SUMIFS(Table2[15 On target],Table2[OrgID],$D38,Table2[Rel_D],$D$61)</f>
        <v>139</v>
      </c>
      <c r="AM38" s="84">
        <f t="shared" si="9"/>
        <v>0.53256704980842917</v>
      </c>
      <c r="AN38" s="334">
        <v>0.41509433962264153</v>
      </c>
      <c r="AO38" s="83">
        <f>SUMIFS(Table2[Off target],Table2[OrgID],$D38,Table2[Rel_D],$D$61)</f>
        <v>122</v>
      </c>
      <c r="AP38" s="83">
        <f>SUMIFS(Table2[12 Off target, with clinical review (2)],Table2[OrgID],$D38,Table2[Rel_D],$D$61)</f>
        <v>17</v>
      </c>
      <c r="AQ38" s="84">
        <f t="shared" si="10"/>
        <v>0.13934426229508196</v>
      </c>
      <c r="AR38" s="340">
        <v>0.16129032258064516</v>
      </c>
      <c r="AS38" s="322">
        <f>SUMIFS(Table2[E. Patients on the CHD or Stroke/TIA or PAD register],Table2[OrgID],$D38,Table2[Rel_D],$D$61)</f>
        <v>69</v>
      </c>
      <c r="AT38" s="100">
        <f>SUMIFS(Table2[13 Secondary prevention statins prescribed or offered in last 12m],Table2[OrgID],$D38,Table2[Rel_D],$D$61)</f>
        <v>32</v>
      </c>
      <c r="AU38" s="84">
        <f t="shared" si="11"/>
        <v>0.46376811594202899</v>
      </c>
      <c r="AV38" s="351">
        <v>0.41095890410958902</v>
      </c>
      <c r="AW38" s="433">
        <f>SUMIFS(Table2[F. Patients on anticoagulants or antiplatelets 6m],Table2[OrgID],Details!D38,Table2[Rel_D],Details!$D$61)</f>
        <v>79</v>
      </c>
      <c r="AX38" s="434" t="e">
        <f>SUMIFS(#REF!,#REF!,Details!#REF!,#REF!,Details!$D$61)</f>
        <v>#REF!</v>
      </c>
      <c r="AY38" s="2">
        <f>SUMIFS(Table2[Not on PPI 6m],Table2[OrgID],$D38,Table2[Rel_D],$D$61)</f>
        <v>25</v>
      </c>
      <c r="AZ38" s="69">
        <f>SUMIFS(Table2[14 Not on PPI, reviewed],Table2[OrgID],$D38,Table2[Rel_D],$D$61)</f>
        <v>5</v>
      </c>
      <c r="BA38" s="84">
        <f t="shared" si="3"/>
        <v>0.2</v>
      </c>
      <c r="BB38" s="356">
        <v>0.5</v>
      </c>
    </row>
    <row r="39" spans="3:54">
      <c r="C39" s="73" t="s">
        <v>169</v>
      </c>
      <c r="D39" s="74" t="s">
        <v>87</v>
      </c>
      <c r="E39" s="450">
        <f>SUMIFS(Table2[All currently registered regular patients aged 18+],Table2[OrgID],D39,Table2[Rel_D],Details!$D$61)</f>
        <v>3066</v>
      </c>
      <c r="F39" s="433" t="e">
        <f>SUMIFS(#REF!,#REF!,C39,#REF!,Details!$D$61)</f>
        <v>#REF!</v>
      </c>
      <c r="G39" s="115">
        <f>SUMIFS(Table2[A. Patients on the diabetes register],Table2[OrgID],D39,Table2[Rel_D],Details!$D$61)</f>
        <v>268</v>
      </c>
      <c r="H39" s="116">
        <f>SUMIFS(Table2[Type 2 diabetics],Table2[OrgID],D39,Table2[Rel_D],Details!$D$61)</f>
        <v>255</v>
      </c>
      <c r="I39" s="116">
        <f>SUMIFS(Table2[1 Diabetes review recorded or proxy 12m],Table2[OrgID],$D39,Table2[Rel_D],$D$61)</f>
        <v>173</v>
      </c>
      <c r="J39" s="234">
        <f t="shared" si="0"/>
        <v>0.67843137254901964</v>
      </c>
      <c r="K39" s="241">
        <v>0.81777777777777783</v>
      </c>
      <c r="L39" s="229">
        <f>SUMIFS(Table2[Eligible for triple target],Table2[OrgID],$D39,Table2[Rel_D],$D$61)</f>
        <v>196</v>
      </c>
      <c r="M39" s="116">
        <f>SUMIFS(Table2[3 Triple target achieved],Table2[OrgID],$D39,Table2[Rel_D],$D$61)</f>
        <v>24</v>
      </c>
      <c r="N39" s="234">
        <f t="shared" si="4"/>
        <v>0.12244897959183673</v>
      </c>
      <c r="O39" s="287">
        <v>0.21052631578947367</v>
      </c>
      <c r="P39" s="115">
        <f>SUMIFS(Table2[B. Patients on the COPD register],Table2[OrgID],$D39,Table2[Rel_D],$D$61)</f>
        <v>24</v>
      </c>
      <c r="Q39" s="229">
        <f>SUMIFS(Table2[4 COPD review coded or proxy (MRC) 12m],Table2[OrgID],$D39,Table2[Rel_D],$D$61)</f>
        <v>20</v>
      </c>
      <c r="R39" s="123">
        <f t="shared" si="5"/>
        <v>0.83333333333333337</v>
      </c>
      <c r="S39" s="241">
        <v>0.91666666666666663</v>
      </c>
      <c r="T39" s="116">
        <f>SUMIFS(Table2[6 CAT Score &amp; MRC scale recorded],Table2[OrgID],$D39,Table2[Rel_D],$D$61)</f>
        <v>20</v>
      </c>
      <c r="U39" s="123">
        <f t="shared" si="6"/>
        <v>1</v>
      </c>
      <c r="V39" s="241">
        <v>0.81818181818181823</v>
      </c>
      <c r="W39" s="116">
        <f>SUMIFS(Table2[7 COPD action plan recorded 12m],Table2[OrgID],$D39,Table2[Rel_D],$D$61)</f>
        <v>17</v>
      </c>
      <c r="X39" s="234">
        <f t="shared" si="1"/>
        <v>0.85</v>
      </c>
      <c r="Y39" s="249">
        <v>0.54545454545454541</v>
      </c>
      <c r="Z39" s="433">
        <f>SUMIFS(Table2[C. Patients on the asthma register],Table2[OrgID],$D39,Table2[Rel_D],$D$61)</f>
        <v>134</v>
      </c>
      <c r="AA39" s="434" t="e">
        <f>SUMIFS(#REF!,#REF!,$D39,#REF!,$D$61)</f>
        <v>#REF!</v>
      </c>
      <c r="AB39" s="2">
        <f>SUMIFS(Table2[8 Asthma review coded or proxy (inhaler technique) 12m],Table2[OrgID],$D39,Table2[Rel_D],$D$61)</f>
        <v>123</v>
      </c>
      <c r="AC39" s="93">
        <f t="shared" si="7"/>
        <v>0.91791044776119401</v>
      </c>
      <c r="AD39" s="260">
        <v>0.8571428571428571</v>
      </c>
      <c r="AE39" s="94">
        <f>SUMIFS(Table2[10 Asthma Action Plan recorded 12m],Table2[OrgID],$D39,Table2[Rel_D],$D$61)</f>
        <v>96</v>
      </c>
      <c r="AF39" s="93">
        <f t="shared" si="8"/>
        <v>0.78048780487804881</v>
      </c>
      <c r="AG39" s="260">
        <v>0.92592592592592593</v>
      </c>
      <c r="AH39" s="69">
        <f>SUMIFS(Table2[11 ACT recorded],Table2[OrgID],$D39,Table2[Rel_D],$D$61)</f>
        <v>99</v>
      </c>
      <c r="AI39" s="293">
        <f t="shared" si="2"/>
        <v>0.80487804878048785</v>
      </c>
      <c r="AJ39" s="300">
        <v>0.83333333333333337</v>
      </c>
      <c r="AK39" s="105">
        <f>SUMIFS(Table2[D. Patients on the hypertension register],Table2[OrgID],$D39,Table2[Rel_D],$D$61)</f>
        <v>466</v>
      </c>
      <c r="AL39" s="83">
        <f>SUMIFS(Table2[15 On target],Table2[OrgID],$D39,Table2[Rel_D],$D$61)</f>
        <v>236</v>
      </c>
      <c r="AM39" s="84">
        <f t="shared" si="9"/>
        <v>0.50643776824034337</v>
      </c>
      <c r="AN39" s="334">
        <v>0.57207207207207211</v>
      </c>
      <c r="AO39" s="83">
        <f>SUMIFS(Table2[Off target],Table2[OrgID],$D39,Table2[Rel_D],$D$61)</f>
        <v>230</v>
      </c>
      <c r="AP39" s="83">
        <f>SUMIFS(Table2[12 Off target, with clinical review (2)],Table2[OrgID],$D39,Table2[Rel_D],$D$61)</f>
        <v>97</v>
      </c>
      <c r="AQ39" s="84">
        <f t="shared" si="10"/>
        <v>0.42173913043478262</v>
      </c>
      <c r="AR39" s="340">
        <v>0.20526315789473684</v>
      </c>
      <c r="AS39" s="322">
        <f>SUMIFS(Table2[E. Patients on the CHD or Stroke/TIA or PAD register],Table2[OrgID],$D39,Table2[Rel_D],$D$61)</f>
        <v>91</v>
      </c>
      <c r="AT39" s="100">
        <f>SUMIFS(Table2[13 Secondary prevention statins prescribed or offered in last 12m],Table2[OrgID],$D39,Table2[Rel_D],$D$61)</f>
        <v>46</v>
      </c>
      <c r="AU39" s="84">
        <f t="shared" si="11"/>
        <v>0.50549450549450547</v>
      </c>
      <c r="AV39" s="351">
        <v>0.4943820224719101</v>
      </c>
      <c r="AW39" s="433">
        <f>SUMIFS(Table2[F. Patients on anticoagulants or antiplatelets 6m],Table2[OrgID],Details!D39,Table2[Rel_D],Details!$D$61)</f>
        <v>135</v>
      </c>
      <c r="AX39" s="434" t="e">
        <f>SUMIFS(#REF!,#REF!,Details!#REF!,#REF!,Details!$D$61)</f>
        <v>#REF!</v>
      </c>
      <c r="AY39" s="2">
        <f>SUMIFS(Table2[Not on PPI 6m],Table2[OrgID],$D39,Table2[Rel_D],$D$61)</f>
        <v>84</v>
      </c>
      <c r="AZ39" s="69">
        <f>SUMIFS(Table2[14 Not on PPI, reviewed],Table2[OrgID],$D39,Table2[Rel_D],$D$61)</f>
        <v>5</v>
      </c>
      <c r="BA39" s="84">
        <f t="shared" si="3"/>
        <v>5.9523809523809521E-2</v>
      </c>
      <c r="BB39" s="356">
        <v>0.16</v>
      </c>
    </row>
    <row r="40" spans="3:54">
      <c r="C40" s="73" t="s">
        <v>170</v>
      </c>
      <c r="D40" s="74" t="s">
        <v>88</v>
      </c>
      <c r="E40" s="450">
        <f>SUMIFS(Table2[All currently registered regular patients aged 18+],Table2[OrgID],D40,Table2[Rel_D],Details!$D$61)</f>
        <v>4678</v>
      </c>
      <c r="F40" s="433" t="e">
        <f>SUMIFS(#REF!,#REF!,C40,#REF!,Details!$D$61)</f>
        <v>#REF!</v>
      </c>
      <c r="G40" s="115">
        <f>SUMIFS(Table2[A. Patients on the diabetes register],Table2[OrgID],D40,Table2[Rel_D],Details!$D$61)</f>
        <v>431</v>
      </c>
      <c r="H40" s="116">
        <f>SUMIFS(Table2[Type 2 diabetics],Table2[OrgID],D40,Table2[Rel_D],Details!$D$61)</f>
        <v>409</v>
      </c>
      <c r="I40" s="116">
        <f>SUMIFS(Table2[1 Diabetes review recorded or proxy 12m],Table2[OrgID],$D40,Table2[Rel_D],$D$61)</f>
        <v>289</v>
      </c>
      <c r="J40" s="234">
        <f t="shared" si="0"/>
        <v>0.70660146699266502</v>
      </c>
      <c r="K40" s="241">
        <v>0.75689223057644106</v>
      </c>
      <c r="L40" s="229">
        <f>SUMIFS(Table2[Eligible for triple target],Table2[OrgID],$D40,Table2[Rel_D],$D$61)</f>
        <v>262</v>
      </c>
      <c r="M40" s="116">
        <f>SUMIFS(Table2[3 Triple target achieved],Table2[OrgID],$D40,Table2[Rel_D],$D$61)</f>
        <v>43</v>
      </c>
      <c r="N40" s="234">
        <f t="shared" si="4"/>
        <v>0.16412213740458015</v>
      </c>
      <c r="O40" s="287">
        <v>0.16339869281045752</v>
      </c>
      <c r="P40" s="115">
        <f>SUMIFS(Table2[B. Patients on the COPD register],Table2[OrgID],$D40,Table2[Rel_D],$D$61)</f>
        <v>50</v>
      </c>
      <c r="Q40" s="229">
        <f>SUMIFS(Table2[4 COPD review coded or proxy (MRC) 12m],Table2[OrgID],$D40,Table2[Rel_D],$D$61)</f>
        <v>41</v>
      </c>
      <c r="R40" s="123">
        <f t="shared" si="5"/>
        <v>0.82</v>
      </c>
      <c r="S40" s="241">
        <v>0.90740740740740744</v>
      </c>
      <c r="T40" s="116">
        <f>SUMIFS(Table2[6 CAT Score &amp; MRC scale recorded],Table2[OrgID],$D40,Table2[Rel_D],$D$61)</f>
        <v>33</v>
      </c>
      <c r="U40" s="123">
        <f t="shared" si="6"/>
        <v>0.80487804878048785</v>
      </c>
      <c r="V40" s="241">
        <v>0.48979591836734693</v>
      </c>
      <c r="W40" s="116">
        <f>SUMIFS(Table2[7 COPD action plan recorded 12m],Table2[OrgID],$D40,Table2[Rel_D],$D$61)</f>
        <v>21</v>
      </c>
      <c r="X40" s="234">
        <f t="shared" si="1"/>
        <v>0.51219512195121952</v>
      </c>
      <c r="Y40" s="249">
        <v>0.93877551020408168</v>
      </c>
      <c r="Z40" s="433">
        <f>SUMIFS(Table2[C. Patients on the asthma register],Table2[OrgID],$D40,Table2[Rel_D],$D$61)</f>
        <v>234</v>
      </c>
      <c r="AA40" s="434" t="e">
        <f>SUMIFS(#REF!,#REF!,$D40,#REF!,$D$61)</f>
        <v>#REF!</v>
      </c>
      <c r="AB40" s="2">
        <f>SUMIFS(Table2[8 Asthma review coded or proxy (inhaler technique) 12m],Table2[OrgID],$D40,Table2[Rel_D],$D$61)</f>
        <v>154</v>
      </c>
      <c r="AC40" s="93">
        <f t="shared" si="7"/>
        <v>0.65811965811965811</v>
      </c>
      <c r="AD40" s="260">
        <v>0.87951807228915657</v>
      </c>
      <c r="AE40" s="94">
        <f>SUMIFS(Table2[10 Asthma Action Plan recorded 12m],Table2[OrgID],$D40,Table2[Rel_D],$D$61)</f>
        <v>147</v>
      </c>
      <c r="AF40" s="93">
        <f t="shared" si="8"/>
        <v>0.95454545454545459</v>
      </c>
      <c r="AG40" s="260">
        <v>0.9634703196347032</v>
      </c>
      <c r="AH40" s="69">
        <f>SUMIFS(Table2[11 ACT recorded],Table2[OrgID],$D40,Table2[Rel_D],$D$61)</f>
        <v>152</v>
      </c>
      <c r="AI40" s="293">
        <f t="shared" si="2"/>
        <v>0.98701298701298701</v>
      </c>
      <c r="AJ40" s="300">
        <v>0.92237442922374424</v>
      </c>
      <c r="AK40" s="105">
        <f>SUMIFS(Table2[D. Patients on the hypertension register],Table2[OrgID],$D40,Table2[Rel_D],$D$61)</f>
        <v>685</v>
      </c>
      <c r="AL40" s="83">
        <f>SUMIFS(Table2[15 On target],Table2[OrgID],$D40,Table2[Rel_D],$D$61)</f>
        <v>336</v>
      </c>
      <c r="AM40" s="84">
        <f t="shared" si="9"/>
        <v>0.49051094890510949</v>
      </c>
      <c r="AN40" s="334">
        <v>0.47632711621233859</v>
      </c>
      <c r="AO40" s="83">
        <f>SUMIFS(Table2[Off target],Table2[OrgID],$D40,Table2[Rel_D],$D$61)</f>
        <v>349</v>
      </c>
      <c r="AP40" s="83">
        <f>SUMIFS(Table2[12 Off target, with clinical review (2)],Table2[OrgID],$D40,Table2[Rel_D],$D$61)</f>
        <v>156</v>
      </c>
      <c r="AQ40" s="84">
        <f t="shared" si="10"/>
        <v>0.44699140401146131</v>
      </c>
      <c r="AR40" s="340">
        <v>0.35068493150684932</v>
      </c>
      <c r="AS40" s="322">
        <f>SUMIFS(Table2[E. Patients on the CHD or Stroke/TIA or PAD register],Table2[OrgID],$D40,Table2[Rel_D],$D$61)</f>
        <v>201</v>
      </c>
      <c r="AT40" s="100">
        <f>SUMIFS(Table2[13 Secondary prevention statins prescribed or offered in last 12m],Table2[OrgID],$D40,Table2[Rel_D],$D$61)</f>
        <v>92</v>
      </c>
      <c r="AU40" s="84">
        <f t="shared" si="11"/>
        <v>0.45771144278606968</v>
      </c>
      <c r="AV40" s="351">
        <v>0.4</v>
      </c>
      <c r="AW40" s="433">
        <f>SUMIFS(Table2[F. Patients on anticoagulants or antiplatelets 6m],Table2[OrgID],Details!D40,Table2[Rel_D],Details!$D$61)</f>
        <v>282</v>
      </c>
      <c r="AX40" s="434" t="e">
        <f>SUMIFS(#REF!,#REF!,Details!#REF!,#REF!,Details!$D$61)</f>
        <v>#REF!</v>
      </c>
      <c r="AY40" s="2">
        <f>SUMIFS(Table2[Not on PPI 6m],Table2[OrgID],$D40,Table2[Rel_D],$D$61)</f>
        <v>137</v>
      </c>
      <c r="AZ40" s="69">
        <f>SUMIFS(Table2[14 Not on PPI, reviewed],Table2[OrgID],$D40,Table2[Rel_D],$D$61)</f>
        <v>14</v>
      </c>
      <c r="BA40" s="84">
        <f t="shared" si="3"/>
        <v>0.10218978102189781</v>
      </c>
      <c r="BB40" s="356">
        <v>2.7210884353741496E-2</v>
      </c>
    </row>
    <row r="41" spans="3:54">
      <c r="C41" s="73" t="s">
        <v>171</v>
      </c>
      <c r="D41" s="74" t="s">
        <v>89</v>
      </c>
      <c r="E41" s="450">
        <f>SUMIFS(Table2[All currently registered regular patients aged 18+],Table2[OrgID],D41,Table2[Rel_D],Details!$D$61)</f>
        <v>11904</v>
      </c>
      <c r="F41" s="433" t="e">
        <f>SUMIFS(#REF!,#REF!,C41,#REF!,Details!$D$61)</f>
        <v>#REF!</v>
      </c>
      <c r="G41" s="115">
        <f>SUMIFS(Table2[A. Patients on the diabetes register],Table2[OrgID],D41,Table2[Rel_D],Details!$D$61)</f>
        <v>883</v>
      </c>
      <c r="H41" s="116">
        <f>SUMIFS(Table2[Type 2 diabetics],Table2[OrgID],D41,Table2[Rel_D],Details!$D$61)</f>
        <v>838</v>
      </c>
      <c r="I41" s="116">
        <f>SUMIFS(Table2[1 Diabetes review recorded or proxy 12m],Table2[OrgID],$D41,Table2[Rel_D],$D$61)</f>
        <v>607</v>
      </c>
      <c r="J41" s="234">
        <f t="shared" si="0"/>
        <v>0.72434367541766109</v>
      </c>
      <c r="K41" s="241">
        <v>0.61352657004830913</v>
      </c>
      <c r="L41" s="229">
        <f>SUMIFS(Table2[Eligible for triple target],Table2[OrgID],$D41,Table2[Rel_D],$D$61)</f>
        <v>305</v>
      </c>
      <c r="M41" s="116">
        <f>SUMIFS(Table2[3 Triple target achieved],Table2[OrgID],$D41,Table2[Rel_D],$D$61)</f>
        <v>32</v>
      </c>
      <c r="N41" s="234">
        <f t="shared" si="4"/>
        <v>0.10491803278688525</v>
      </c>
      <c r="O41" s="287">
        <v>0.1490566037735849</v>
      </c>
      <c r="P41" s="115">
        <f>SUMIFS(Table2[B. Patients on the COPD register],Table2[OrgID],$D41,Table2[Rel_D],$D$61)</f>
        <v>123</v>
      </c>
      <c r="Q41" s="229">
        <f>SUMIFS(Table2[4 COPD review coded or proxy (MRC) 12m],Table2[OrgID],$D41,Table2[Rel_D],$D$61)</f>
        <v>110</v>
      </c>
      <c r="R41" s="123">
        <f t="shared" si="5"/>
        <v>0.89430894308943087</v>
      </c>
      <c r="S41" s="241">
        <v>0.65853658536585369</v>
      </c>
      <c r="T41" s="116">
        <f>SUMIFS(Table2[6 CAT Score &amp; MRC scale recorded],Table2[OrgID],$D41,Table2[Rel_D],$D$61)</f>
        <v>105</v>
      </c>
      <c r="U41" s="123">
        <f t="shared" si="6"/>
        <v>0.95454545454545459</v>
      </c>
      <c r="V41" s="241">
        <v>0.8271604938271605</v>
      </c>
      <c r="W41" s="116">
        <f>SUMIFS(Table2[7 COPD action plan recorded 12m],Table2[OrgID],$D41,Table2[Rel_D],$D$61)</f>
        <v>92</v>
      </c>
      <c r="X41" s="234">
        <f t="shared" si="1"/>
        <v>0.83636363636363631</v>
      </c>
      <c r="Y41" s="249">
        <v>0.79012345679012341</v>
      </c>
      <c r="Z41" s="433">
        <f>SUMIFS(Table2[C. Patients on the asthma register],Table2[OrgID],$D41,Table2[Rel_D],$D$61)</f>
        <v>571</v>
      </c>
      <c r="AA41" s="434" t="e">
        <f>SUMIFS(#REF!,#REF!,$D41,#REF!,$D$61)</f>
        <v>#REF!</v>
      </c>
      <c r="AB41" s="2">
        <f>SUMIFS(Table2[8 Asthma review coded or proxy (inhaler technique) 12m],Table2[OrgID],$D41,Table2[Rel_D],$D$61)</f>
        <v>441</v>
      </c>
      <c r="AC41" s="93">
        <f t="shared" si="7"/>
        <v>0.77232924693520144</v>
      </c>
      <c r="AD41" s="260">
        <v>0.6523297491039427</v>
      </c>
      <c r="AE41" s="94">
        <f>SUMIFS(Table2[10 Asthma Action Plan recorded 12m],Table2[OrgID],$D41,Table2[Rel_D],$D$61)</f>
        <v>428</v>
      </c>
      <c r="AF41" s="93">
        <f t="shared" si="8"/>
        <v>0.97052154195011342</v>
      </c>
      <c r="AG41" s="260">
        <v>0.9285714285714286</v>
      </c>
      <c r="AH41" s="69">
        <f>SUMIFS(Table2[11 ACT recorded],Table2[OrgID],$D41,Table2[Rel_D],$D$61)</f>
        <v>433</v>
      </c>
      <c r="AI41" s="293">
        <f t="shared" si="2"/>
        <v>0.98185941043083902</v>
      </c>
      <c r="AJ41" s="300">
        <v>0.80769230769230771</v>
      </c>
      <c r="AK41" s="105">
        <f>SUMIFS(Table2[D. Patients on the hypertension register],Table2[OrgID],$D41,Table2[Rel_D],$D$61)</f>
        <v>1822</v>
      </c>
      <c r="AL41" s="83">
        <f>SUMIFS(Table2[15 On target],Table2[OrgID],$D41,Table2[Rel_D],$D$61)</f>
        <v>1012</v>
      </c>
      <c r="AM41" s="84">
        <f t="shared" si="9"/>
        <v>0.55543358946212951</v>
      </c>
      <c r="AN41" s="334">
        <v>0.48322147651006714</v>
      </c>
      <c r="AO41" s="83">
        <f>SUMIFS(Table2[Off target],Table2[OrgID],$D41,Table2[Rel_D],$D$61)</f>
        <v>810</v>
      </c>
      <c r="AP41" s="83">
        <f>SUMIFS(Table2[12 Off target, with clinical review (2)],Table2[OrgID],$D41,Table2[Rel_D],$D$61)</f>
        <v>341</v>
      </c>
      <c r="AQ41" s="84">
        <f t="shared" si="10"/>
        <v>0.42098765432098767</v>
      </c>
      <c r="AR41" s="340">
        <v>0.26298701298701299</v>
      </c>
      <c r="AS41" s="322">
        <f>SUMIFS(Table2[E. Patients on the CHD or Stroke/TIA or PAD register],Table2[OrgID],$D41,Table2[Rel_D],$D$61)</f>
        <v>313</v>
      </c>
      <c r="AT41" s="100">
        <f>SUMIFS(Table2[13 Secondary prevention statins prescribed or offered in last 12m],Table2[OrgID],$D41,Table2[Rel_D],$D$61)</f>
        <v>166</v>
      </c>
      <c r="AU41" s="84">
        <f t="shared" si="11"/>
        <v>0.53035143769968052</v>
      </c>
      <c r="AV41" s="351">
        <v>0.5220125786163522</v>
      </c>
      <c r="AW41" s="433">
        <f>SUMIFS(Table2[F. Patients on anticoagulants or antiplatelets 6m],Table2[OrgID],Details!D41,Table2[Rel_D],Details!$D$61)</f>
        <v>430</v>
      </c>
      <c r="AX41" s="434" t="e">
        <f>SUMIFS(#REF!,#REF!,Details!#REF!,#REF!,Details!$D$61)</f>
        <v>#REF!</v>
      </c>
      <c r="AY41" s="2">
        <f>SUMIFS(Table2[Not on PPI 6m],Table2[OrgID],$D41,Table2[Rel_D],$D$61)</f>
        <v>231</v>
      </c>
      <c r="AZ41" s="69">
        <f>SUMIFS(Table2[14 Not on PPI, reviewed],Table2[OrgID],$D41,Table2[Rel_D],$D$61)</f>
        <v>59</v>
      </c>
      <c r="BA41" s="84">
        <f t="shared" si="3"/>
        <v>0.25541125541125542</v>
      </c>
      <c r="BB41" s="356">
        <v>7.9166666666666663E-2</v>
      </c>
    </row>
    <row r="42" spans="3:54" ht="15.75" thickBot="1">
      <c r="C42" s="75" t="s">
        <v>172</v>
      </c>
      <c r="D42" s="76" t="s">
        <v>90</v>
      </c>
      <c r="E42" s="455">
        <f>SUMIFS(Table2[All currently registered regular patients aged 18+],Table2[OrgID],D42,Table2[Rel_D],Details!$D$61)</f>
        <v>2900</v>
      </c>
      <c r="F42" s="435" t="e">
        <f>SUMIFS(#REF!,#REF!,C42,#REF!,Details!$D$61)</f>
        <v>#REF!</v>
      </c>
      <c r="G42" s="117">
        <f>SUMIFS(Table2[A. Patients on the diabetes register],Table2[OrgID],D42,Table2[Rel_D],Details!$D$61)</f>
        <v>213</v>
      </c>
      <c r="H42" s="118">
        <f>SUMIFS(Table2[Type 2 diabetics],Table2[OrgID],D42,Table2[Rel_D],Details!$D$61)</f>
        <v>201</v>
      </c>
      <c r="I42" s="118">
        <f>SUMIFS(Table2[1 Diabetes review recorded or proxy 12m],Table2[OrgID],$D42,Table2[Rel_D],$D$61)</f>
        <v>175</v>
      </c>
      <c r="J42" s="236">
        <f t="shared" si="0"/>
        <v>0.87064676616915426</v>
      </c>
      <c r="K42" s="242">
        <v>0.74257425742574257</v>
      </c>
      <c r="L42" s="230">
        <f>SUMIFS(Table2[Eligible for triple target],Table2[OrgID],$D42,Table2[Rel_D],$D$61)</f>
        <v>139</v>
      </c>
      <c r="M42" s="118">
        <f>SUMIFS(Table2[3 Triple target achieved],Table2[OrgID],$D42,Table2[Rel_D],$D$61)</f>
        <v>13</v>
      </c>
      <c r="N42" s="236">
        <f t="shared" si="4"/>
        <v>9.3525179856115109E-2</v>
      </c>
      <c r="O42" s="289">
        <v>0.14184397163120568</v>
      </c>
      <c r="P42" s="117">
        <f>SUMIFS(Table2[B. Patients on the COPD register],Table2[OrgID],$D42,Table2[Rel_D],$D$61)</f>
        <v>27</v>
      </c>
      <c r="Q42" s="230">
        <f>SUMIFS(Table2[4 COPD review coded or proxy (MRC) 12m],Table2[OrgID],$D42,Table2[Rel_D],$D$61)</f>
        <v>23</v>
      </c>
      <c r="R42" s="124">
        <f t="shared" si="5"/>
        <v>0.85185185185185186</v>
      </c>
      <c r="S42" s="242">
        <v>0.92592592592592593</v>
      </c>
      <c r="T42" s="118">
        <f>SUMIFS(Table2[6 CAT Score &amp; MRC scale recorded],Table2[OrgID],$D42,Table2[Rel_D],$D$61)</f>
        <v>13</v>
      </c>
      <c r="U42" s="124">
        <f t="shared" si="6"/>
        <v>0.56521739130434778</v>
      </c>
      <c r="V42" s="242">
        <v>0.24</v>
      </c>
      <c r="W42" s="118">
        <f>SUMIFS(Table2[7 COPD action plan recorded 12m],Table2[OrgID],$D42,Table2[Rel_D],$D$61)</f>
        <v>19</v>
      </c>
      <c r="X42" s="236">
        <f t="shared" si="1"/>
        <v>0.82608695652173914</v>
      </c>
      <c r="Y42" s="250">
        <v>0.44</v>
      </c>
      <c r="Z42" s="435">
        <f>SUMIFS(Table2[C. Patients on the asthma register],Table2[OrgID],$D42,Table2[Rel_D],$D$61)</f>
        <v>99</v>
      </c>
      <c r="AA42" s="436" t="e">
        <f>SUMIFS(#REF!,#REF!,$D42,#REF!,$D$61)</f>
        <v>#REF!</v>
      </c>
      <c r="AB42" s="3">
        <f>SUMIFS(Table2[8 Asthma review coded or proxy (inhaler technique) 12m],Table2[OrgID],$D42,Table2[Rel_D],$D$61)</f>
        <v>88</v>
      </c>
      <c r="AC42" s="95">
        <f t="shared" si="7"/>
        <v>0.88888888888888884</v>
      </c>
      <c r="AD42" s="261">
        <v>0.9042553191489362</v>
      </c>
      <c r="AE42" s="96">
        <f>SUMIFS(Table2[10 Asthma Action Plan recorded 12m],Table2[OrgID],$D42,Table2[Rel_D],$D$61)</f>
        <v>88</v>
      </c>
      <c r="AF42" s="95">
        <f t="shared" si="8"/>
        <v>1</v>
      </c>
      <c r="AG42" s="261">
        <v>0.83529411764705885</v>
      </c>
      <c r="AH42" s="70">
        <f>SUMIFS(Table2[11 ACT recorded],Table2[OrgID],$D42,Table2[Rel_D],$D$61)</f>
        <v>87</v>
      </c>
      <c r="AI42" s="295">
        <f t="shared" si="2"/>
        <v>0.98863636363636365</v>
      </c>
      <c r="AJ42" s="301">
        <v>0.76470588235294112</v>
      </c>
      <c r="AK42" s="106">
        <f>SUMIFS(Table2[D. Patients on the hypertension register],Table2[OrgID],$D42,Table2[Rel_D],$D$61)</f>
        <v>337</v>
      </c>
      <c r="AL42" s="85">
        <f>SUMIFS(Table2[15 On target],Table2[OrgID],$D42,Table2[Rel_D],$D$61)</f>
        <v>195</v>
      </c>
      <c r="AM42" s="86">
        <f t="shared" si="9"/>
        <v>0.57863501483679525</v>
      </c>
      <c r="AN42" s="335">
        <v>0.4759036144578313</v>
      </c>
      <c r="AO42" s="85">
        <f>SUMIFS(Table2[Off target],Table2[OrgID],$D42,Table2[Rel_D],$D$61)</f>
        <v>142</v>
      </c>
      <c r="AP42" s="85">
        <f>SUMIFS(Table2[12 Off target, with clinical review (2)],Table2[OrgID],$D42,Table2[Rel_D],$D$61)</f>
        <v>46</v>
      </c>
      <c r="AQ42" s="86">
        <f t="shared" si="10"/>
        <v>0.323943661971831</v>
      </c>
      <c r="AR42" s="341">
        <v>0.19540229885057472</v>
      </c>
      <c r="AS42" s="326">
        <f>SUMIFS(Table2[E. Patients on the CHD or Stroke/TIA or PAD register],Table2[OrgID],$D42,Table2[Rel_D],$D$61)</f>
        <v>80</v>
      </c>
      <c r="AT42" s="101">
        <f>SUMIFS(Table2[13 Secondary prevention statins prescribed or offered in last 12m],Table2[OrgID],$D42,Table2[Rel_D],$D$61)</f>
        <v>41</v>
      </c>
      <c r="AU42" s="86">
        <f t="shared" si="11"/>
        <v>0.51249999999999996</v>
      </c>
      <c r="AV42" s="350">
        <v>0.51764705882352946</v>
      </c>
      <c r="AW42" s="435">
        <f>SUMIFS(Table2[F. Patients on anticoagulants or antiplatelets 6m],Table2[OrgID],Details!D42,Table2[Rel_D],Details!$D$61)</f>
        <v>120</v>
      </c>
      <c r="AX42" s="436" t="e">
        <f>SUMIFS(#REF!,#REF!,Details!#REF!,#REF!,Details!$D$61)</f>
        <v>#REF!</v>
      </c>
      <c r="AY42" s="3">
        <f>SUMIFS(Table2[Not on PPI 6m],Table2[OrgID],$D42,Table2[Rel_D],$D$61)</f>
        <v>49</v>
      </c>
      <c r="AZ42" s="70">
        <f>SUMIFS(Table2[14 Not on PPI, reviewed],Table2[OrgID],$D42,Table2[Rel_D],$D$61)</f>
        <v>7</v>
      </c>
      <c r="BA42" s="86">
        <f t="shared" si="3"/>
        <v>0.14285714285714285</v>
      </c>
      <c r="BB42" s="357">
        <v>0.08</v>
      </c>
    </row>
    <row r="43" spans="3:54" ht="18" customHeight="1" thickBot="1">
      <c r="C43" s="17" t="s">
        <v>173</v>
      </c>
      <c r="D43" s="18" t="s">
        <v>91</v>
      </c>
      <c r="E43" s="447">
        <f t="shared" ref="E43:F43" si="28">SUM(E37:E42)</f>
        <v>29576</v>
      </c>
      <c r="F43" s="448" t="e">
        <f t="shared" si="28"/>
        <v>#REF!</v>
      </c>
      <c r="G43" s="119">
        <f>SUM(G37:G42)</f>
        <v>2252</v>
      </c>
      <c r="H43" s="120">
        <f t="shared" ref="H43:W43" si="29">SUM(H37:H42)</f>
        <v>2138</v>
      </c>
      <c r="I43" s="120">
        <f t="shared" si="29"/>
        <v>1567</v>
      </c>
      <c r="J43" s="235">
        <f t="shared" si="0"/>
        <v>0.73292797006548172</v>
      </c>
      <c r="K43" s="235">
        <v>0.70101596516690856</v>
      </c>
      <c r="L43" s="239">
        <f t="shared" si="29"/>
        <v>1250</v>
      </c>
      <c r="M43" s="120">
        <f t="shared" si="29"/>
        <v>190</v>
      </c>
      <c r="N43" s="235">
        <f t="shared" si="4"/>
        <v>0.152</v>
      </c>
      <c r="O43" s="235">
        <v>0.17725752508361203</v>
      </c>
      <c r="P43" s="364">
        <f t="shared" si="29"/>
        <v>272</v>
      </c>
      <c r="Q43" s="217">
        <f t="shared" si="29"/>
        <v>237</v>
      </c>
      <c r="R43" s="128">
        <f t="shared" si="5"/>
        <v>0.87132352941176472</v>
      </c>
      <c r="S43" s="128">
        <v>0.79642857142857137</v>
      </c>
      <c r="T43" s="127">
        <f t="shared" si="29"/>
        <v>203</v>
      </c>
      <c r="U43" s="128">
        <f t="shared" si="6"/>
        <v>0.85654008438818563</v>
      </c>
      <c r="V43" s="251">
        <v>0.63228699551569512</v>
      </c>
      <c r="W43" s="127">
        <f t="shared" si="29"/>
        <v>186</v>
      </c>
      <c r="X43" s="243">
        <f t="shared" si="1"/>
        <v>0.78481012658227844</v>
      </c>
      <c r="Y43" s="254">
        <v>0.7623318385650224</v>
      </c>
      <c r="Z43" s="445">
        <f t="shared" ref="Z43:AA43" si="30">SUM(Z37:Z42)</f>
        <v>1378</v>
      </c>
      <c r="AA43" s="446" t="e">
        <f t="shared" si="30"/>
        <v>#REF!</v>
      </c>
      <c r="AB43" s="130">
        <f>SUM(AB37:AB42)</f>
        <v>1028</v>
      </c>
      <c r="AC43" s="131">
        <f t="shared" si="7"/>
        <v>0.74600870827285926</v>
      </c>
      <c r="AD43" s="131">
        <v>0.75018368846436445</v>
      </c>
      <c r="AE43" s="132">
        <f>SUM(AE37:AE42)</f>
        <v>980</v>
      </c>
      <c r="AF43" s="131">
        <f t="shared" si="8"/>
        <v>0.953307392996109</v>
      </c>
      <c r="AG43" s="131">
        <v>0.94221351616062687</v>
      </c>
      <c r="AH43" s="133">
        <f>SUM(AH37:AH42)</f>
        <v>991</v>
      </c>
      <c r="AI43" s="294">
        <f t="shared" si="2"/>
        <v>0.96400778210116733</v>
      </c>
      <c r="AJ43" s="134">
        <v>0.86385896180215471</v>
      </c>
      <c r="AK43" s="137">
        <f>SUM(AK37:AK42)</f>
        <v>4167</v>
      </c>
      <c r="AL43" s="138">
        <f>SUM(AL37:AL42)</f>
        <v>2209</v>
      </c>
      <c r="AM43" s="139">
        <f t="shared" si="9"/>
        <v>0.53011759059275254</v>
      </c>
      <c r="AN43" s="139">
        <v>0.48062015503875971</v>
      </c>
      <c r="AO43" s="138">
        <f>SUM(AO37:AO42)</f>
        <v>1958</v>
      </c>
      <c r="AP43" s="138">
        <f>SUM(AP37:AP42)</f>
        <v>705</v>
      </c>
      <c r="AQ43" s="139">
        <f t="shared" si="10"/>
        <v>0.36006128702757917</v>
      </c>
      <c r="AR43" s="306">
        <v>0.23134328358208955</v>
      </c>
      <c r="AS43" s="324">
        <f>SUM(AS37:AS42)</f>
        <v>912</v>
      </c>
      <c r="AT43" s="143">
        <f>SUM(AT37:AT42)</f>
        <v>447</v>
      </c>
      <c r="AU43" s="309">
        <f t="shared" si="11"/>
        <v>0.49013157894736842</v>
      </c>
      <c r="AV43" s="312">
        <v>0.46615720524017468</v>
      </c>
      <c r="AW43" s="441">
        <f t="shared" ref="AW43:AX43" si="31">SUM(AW37:AW42)</f>
        <v>1324</v>
      </c>
      <c r="AX43" s="442" t="e">
        <f t="shared" si="31"/>
        <v>#REF!</v>
      </c>
      <c r="AY43" s="144">
        <f>SUM(AY37:AY42)</f>
        <v>650</v>
      </c>
      <c r="AZ43" s="145">
        <f>SUM(AZ37:AZ42)</f>
        <v>109</v>
      </c>
      <c r="BA43" s="315">
        <f t="shared" si="3"/>
        <v>0.1676923076923077</v>
      </c>
      <c r="BB43" s="353">
        <v>8.2191780821917804E-2</v>
      </c>
    </row>
    <row r="44" spans="3:54">
      <c r="C44" s="77" t="s">
        <v>174</v>
      </c>
      <c r="D44" s="78" t="s">
        <v>92</v>
      </c>
      <c r="E44" s="449">
        <f>SUMIFS(Table2[All currently registered regular patients aged 18+],Table2[OrgID],D44,Table2[Rel_D],Details!$D$61)</f>
        <v>11854</v>
      </c>
      <c r="F44" s="431" t="e">
        <f>SUMIFS(#REF!,#REF!,C44,#REF!,Details!$D$61)</f>
        <v>#REF!</v>
      </c>
      <c r="G44" s="121">
        <f>SUMIFS(Table2[A. Patients on the diabetes register],Table2[OrgID],D44,Table2[Rel_D],Details!$D$61)</f>
        <v>692</v>
      </c>
      <c r="H44" s="122">
        <f>SUMIFS(Table2[Type 2 diabetics],Table2[OrgID],D44,Table2[Rel_D],Details!$D$61)</f>
        <v>655</v>
      </c>
      <c r="I44" s="122">
        <f>SUMIFS(Table2[1 Diabetes review recorded or proxy 12m],Table2[OrgID],$D44,Table2[Rel_D],$D$61)</f>
        <v>476</v>
      </c>
      <c r="J44" s="237">
        <f t="shared" si="0"/>
        <v>0.72671755725190834</v>
      </c>
      <c r="K44" s="240">
        <v>0.63934426229508201</v>
      </c>
      <c r="L44" s="231">
        <f>SUMIFS(Table2[Eligible for triple target],Table2[OrgID],$D44,Table2[Rel_D],$D$61)</f>
        <v>231</v>
      </c>
      <c r="M44" s="122">
        <f>SUMIFS(Table2[3 Triple target achieved],Table2[OrgID],$D44,Table2[Rel_D],$D$61)</f>
        <v>24</v>
      </c>
      <c r="N44" s="237">
        <f t="shared" si="4"/>
        <v>0.1038961038961039</v>
      </c>
      <c r="O44" s="287">
        <v>7.9545454545454544E-2</v>
      </c>
      <c r="P44" s="121">
        <f>SUMIFS(Table2[B. Patients on the COPD register],Table2[OrgID],$D44,Table2[Rel_D],$D$61)</f>
        <v>88</v>
      </c>
      <c r="Q44" s="231">
        <f>SUMIFS(Table2[4 COPD review coded or proxy (MRC) 12m],Table2[OrgID],$D44,Table2[Rel_D],$D$61)</f>
        <v>72</v>
      </c>
      <c r="R44" s="125">
        <f t="shared" si="5"/>
        <v>0.81818181818181823</v>
      </c>
      <c r="S44" s="240">
        <v>0.7978723404255319</v>
      </c>
      <c r="T44" s="122">
        <f>SUMIFS(Table2[6 CAT Score &amp; MRC scale recorded],Table2[OrgID],$D44,Table2[Rel_D],$D$61)</f>
        <v>62</v>
      </c>
      <c r="U44" s="125">
        <f t="shared" si="6"/>
        <v>0.86111111111111116</v>
      </c>
      <c r="V44" s="240">
        <v>0.57333333333333336</v>
      </c>
      <c r="W44" s="122">
        <f>SUMIFS(Table2[7 COPD action plan recorded 12m],Table2[OrgID],$D44,Table2[Rel_D],$D$61)</f>
        <v>49</v>
      </c>
      <c r="X44" s="237">
        <f t="shared" si="1"/>
        <v>0.68055555555555558</v>
      </c>
      <c r="Y44" s="248">
        <v>0.58666666666666667</v>
      </c>
      <c r="Z44" s="431">
        <f>SUMIFS(Table2[C. Patients on the asthma register],Table2[OrgID],$D44,Table2[Rel_D],$D$61)</f>
        <v>713</v>
      </c>
      <c r="AA44" s="432" t="e">
        <f>SUMIFS(#REF!,#REF!,$D44,#REF!,$D$61)</f>
        <v>#REF!</v>
      </c>
      <c r="AB44" s="12">
        <f>SUMIFS(Table2[8 Asthma review coded or proxy (inhaler technique) 12m],Table2[OrgID],$D44,Table2[Rel_D],$D$61)</f>
        <v>474</v>
      </c>
      <c r="AC44" s="97">
        <f t="shared" si="7"/>
        <v>0.66479663394109401</v>
      </c>
      <c r="AD44" s="259">
        <v>0.58084772370486659</v>
      </c>
      <c r="AE44" s="98">
        <f>SUMIFS(Table2[10 Asthma Action Plan recorded 12m],Table2[OrgID],$D44,Table2[Rel_D],$D$61)</f>
        <v>462</v>
      </c>
      <c r="AF44" s="97">
        <f t="shared" si="8"/>
        <v>0.97468354430379744</v>
      </c>
      <c r="AG44" s="259">
        <v>0.75405405405405401</v>
      </c>
      <c r="AH44" s="80">
        <f>SUMIFS(Table2[11 ACT recorded],Table2[OrgID],$D44,Table2[Rel_D],$D$61)</f>
        <v>473</v>
      </c>
      <c r="AI44" s="292">
        <f t="shared" si="2"/>
        <v>0.99789029535864981</v>
      </c>
      <c r="AJ44" s="299">
        <v>0.58648648648648649</v>
      </c>
      <c r="AK44" s="107">
        <f>SUMIFS(Table2[D. Patients on the hypertension register],Table2[OrgID],$D44,Table2[Rel_D],$D$61)</f>
        <v>1311</v>
      </c>
      <c r="AL44" s="87">
        <f>SUMIFS(Table2[15 On target],Table2[OrgID],$D44,Table2[Rel_D],$D$61)</f>
        <v>653</v>
      </c>
      <c r="AM44" s="88">
        <f t="shared" si="9"/>
        <v>0.49809305873379101</v>
      </c>
      <c r="AN44" s="337">
        <v>0.43654001616814875</v>
      </c>
      <c r="AO44" s="87">
        <f>SUMIFS(Table2[Off target],Table2[OrgID],$D44,Table2[Rel_D],$D$61)</f>
        <v>658</v>
      </c>
      <c r="AP44" s="87">
        <f>SUMIFS(Table2[12 Off target, with clinical review (2)],Table2[OrgID],$D44,Table2[Rel_D],$D$61)</f>
        <v>234</v>
      </c>
      <c r="AQ44" s="88">
        <f t="shared" si="10"/>
        <v>0.35562310030395139</v>
      </c>
      <c r="AR44" s="342">
        <v>0.12051649928263988</v>
      </c>
      <c r="AS44" s="327">
        <f>SUMIFS(Table2[E. Patients on the CHD or Stroke/TIA or PAD register],Table2[OrgID],$D44,Table2[Rel_D],$D$61)</f>
        <v>316</v>
      </c>
      <c r="AT44" s="102">
        <f>SUMIFS(Table2[13 Secondary prevention statins prescribed or offered in last 12m],Table2[OrgID],$D44,Table2[Rel_D],$D$61)</f>
        <v>159</v>
      </c>
      <c r="AU44" s="88">
        <f t="shared" si="11"/>
        <v>0.50316455696202533</v>
      </c>
      <c r="AV44" s="349">
        <v>0.46254071661237783</v>
      </c>
      <c r="AW44" s="431">
        <f>SUMIFS(Table2[F. Patients on anticoagulants or antiplatelets 6m],Table2[OrgID],Details!D44,Table2[Rel_D],Details!$D$61)</f>
        <v>448</v>
      </c>
      <c r="AX44" s="432" t="e">
        <f>SUMIFS(#REF!,#REF!,Details!#REF!,#REF!,Details!$D$61)</f>
        <v>#REF!</v>
      </c>
      <c r="AY44" s="12">
        <f>SUMIFS(Table2[Not on PPI 6m],Table2[OrgID],$D44,Table2[Rel_D],$D$61)</f>
        <v>207</v>
      </c>
      <c r="AZ44" s="80">
        <f>SUMIFS(Table2[14 Not on PPI, reviewed],Table2[OrgID],$D44,Table2[Rel_D],$D$61)</f>
        <v>8</v>
      </c>
      <c r="BA44" s="88">
        <f t="shared" si="3"/>
        <v>3.864734299516908E-2</v>
      </c>
      <c r="BB44" s="358">
        <v>1.5151515151515152E-2</v>
      </c>
    </row>
    <row r="45" spans="3:54">
      <c r="C45" s="73" t="s">
        <v>175</v>
      </c>
      <c r="D45" s="74" t="s">
        <v>93</v>
      </c>
      <c r="E45" s="450">
        <f>SUMIFS(Table2[All currently registered regular patients aged 18+],Table2[OrgID],D45,Table2[Rel_D],Details!$D$61)</f>
        <v>2159</v>
      </c>
      <c r="F45" s="433" t="e">
        <f>SUMIFS(#REF!,#REF!,C45,#REF!,Details!$D$61)</f>
        <v>#REF!</v>
      </c>
      <c r="G45" s="115">
        <f>SUMIFS(Table2[A. Patients on the diabetes register],Table2[OrgID],D45,Table2[Rel_D],Details!$D$61)</f>
        <v>204</v>
      </c>
      <c r="H45" s="116">
        <f>SUMIFS(Table2[Type 2 diabetics],Table2[OrgID],D45,Table2[Rel_D],Details!$D$61)</f>
        <v>195</v>
      </c>
      <c r="I45" s="116">
        <f>SUMIFS(Table2[1 Diabetes review recorded or proxy 12m],Table2[OrgID],$D45,Table2[Rel_D],$D$61)</f>
        <v>140</v>
      </c>
      <c r="J45" s="234">
        <f t="shared" si="0"/>
        <v>0.71794871794871795</v>
      </c>
      <c r="K45" s="241">
        <v>0.75</v>
      </c>
      <c r="L45" s="229">
        <f>SUMIFS(Table2[Eligible for triple target],Table2[OrgID],$D45,Table2[Rel_D],$D$61)</f>
        <v>83</v>
      </c>
      <c r="M45" s="116">
        <f>SUMIFS(Table2[3 Triple target achieved],Table2[OrgID],$D45,Table2[Rel_D],$D$61)</f>
        <v>8</v>
      </c>
      <c r="N45" s="234">
        <f t="shared" si="4"/>
        <v>9.6385542168674704E-2</v>
      </c>
      <c r="O45" s="287">
        <v>6.3829787234042548E-2</v>
      </c>
      <c r="P45" s="115">
        <f>SUMIFS(Table2[B. Patients on the COPD register],Table2[OrgID],$D45,Table2[Rel_D],$D$61)</f>
        <v>17</v>
      </c>
      <c r="Q45" s="229">
        <f>SUMIFS(Table2[4 COPD review coded or proxy (MRC) 12m],Table2[OrgID],$D45,Table2[Rel_D],$D$61)</f>
        <v>13</v>
      </c>
      <c r="R45" s="123">
        <f t="shared" si="5"/>
        <v>0.76470588235294112</v>
      </c>
      <c r="S45" s="241">
        <v>0.33333333333333331</v>
      </c>
      <c r="T45" s="116">
        <f>SUMIFS(Table2[6 CAT Score &amp; MRC scale recorded],Table2[OrgID],$D45,Table2[Rel_D],$D$61)</f>
        <v>12</v>
      </c>
      <c r="U45" s="123">
        <f t="shared" si="6"/>
        <v>0.92307692307692313</v>
      </c>
      <c r="V45" s="241">
        <v>0.4</v>
      </c>
      <c r="W45" s="116">
        <f>SUMIFS(Table2[7 COPD action plan recorded 12m],Table2[OrgID],$D45,Table2[Rel_D],$D$61)</f>
        <v>11</v>
      </c>
      <c r="X45" s="234">
        <f t="shared" si="1"/>
        <v>0.84615384615384615</v>
      </c>
      <c r="Y45" s="249">
        <v>0.8</v>
      </c>
      <c r="Z45" s="433">
        <f>SUMIFS(Table2[C. Patients on the asthma register],Table2[OrgID],$D45,Table2[Rel_D],$D$61)</f>
        <v>149</v>
      </c>
      <c r="AA45" s="434" t="e">
        <f>SUMIFS(#REF!,#REF!,$D45,#REF!,$D$61)</f>
        <v>#REF!</v>
      </c>
      <c r="AB45" s="2">
        <f>SUMIFS(Table2[8 Asthma review coded or proxy (inhaler technique) 12m],Table2[OrgID],$D45,Table2[Rel_D],$D$61)</f>
        <v>129</v>
      </c>
      <c r="AC45" s="93">
        <f t="shared" si="7"/>
        <v>0.86577181208053688</v>
      </c>
      <c r="AD45" s="260">
        <v>0.77027027027027029</v>
      </c>
      <c r="AE45" s="94">
        <f>SUMIFS(Table2[10 Asthma Action Plan recorded 12m],Table2[OrgID],$D45,Table2[Rel_D],$D$61)</f>
        <v>128</v>
      </c>
      <c r="AF45" s="93">
        <f t="shared" si="8"/>
        <v>0.99224806201550386</v>
      </c>
      <c r="AG45" s="260">
        <v>0.92982456140350878</v>
      </c>
      <c r="AH45" s="69">
        <f>SUMIFS(Table2[11 ACT recorded],Table2[OrgID],$D45,Table2[Rel_D],$D$61)</f>
        <v>127</v>
      </c>
      <c r="AI45" s="293">
        <f t="shared" si="2"/>
        <v>0.98449612403100772</v>
      </c>
      <c r="AJ45" s="300">
        <v>0.32456140350877194</v>
      </c>
      <c r="AK45" s="105">
        <f>SUMIFS(Table2[D. Patients on the hypertension register],Table2[OrgID],$D45,Table2[Rel_D],$D$61)</f>
        <v>369</v>
      </c>
      <c r="AL45" s="83">
        <f>SUMIFS(Table2[15 On target],Table2[OrgID],$D45,Table2[Rel_D],$D$61)</f>
        <v>163</v>
      </c>
      <c r="AM45" s="84">
        <f t="shared" si="9"/>
        <v>0.44173441734417346</v>
      </c>
      <c r="AN45" s="334">
        <v>0.28455284552845528</v>
      </c>
      <c r="AO45" s="83">
        <f>SUMIFS(Table2[Off target],Table2[OrgID],$D45,Table2[Rel_D],$D$61)</f>
        <v>206</v>
      </c>
      <c r="AP45" s="83">
        <f>SUMIFS(Table2[12 Off target, with clinical review (2)],Table2[OrgID],$D45,Table2[Rel_D],$D$61)</f>
        <v>61</v>
      </c>
      <c r="AQ45" s="84">
        <f t="shared" si="10"/>
        <v>0.29611650485436891</v>
      </c>
      <c r="AR45" s="340">
        <v>0.10984848484848485</v>
      </c>
      <c r="AS45" s="322">
        <f>SUMIFS(Table2[E. Patients on the CHD or Stroke/TIA or PAD register],Table2[OrgID],$D45,Table2[Rel_D],$D$61)</f>
        <v>84</v>
      </c>
      <c r="AT45" s="100">
        <f>SUMIFS(Table2[13 Secondary prevention statins prescribed or offered in last 12m],Table2[OrgID],$D45,Table2[Rel_D],$D$61)</f>
        <v>38</v>
      </c>
      <c r="AU45" s="84">
        <f t="shared" si="11"/>
        <v>0.45238095238095238</v>
      </c>
      <c r="AV45" s="351">
        <v>0.48863636363636365</v>
      </c>
      <c r="AW45" s="433">
        <f>SUMIFS(Table2[F. Patients on anticoagulants or antiplatelets 6m],Table2[OrgID],Details!D45,Table2[Rel_D],Details!$D$61)</f>
        <v>134</v>
      </c>
      <c r="AX45" s="434" t="e">
        <f>SUMIFS(#REF!,#REF!,Details!#REF!,#REF!,Details!$D$61)</f>
        <v>#REF!</v>
      </c>
      <c r="AY45" s="2">
        <f>SUMIFS(Table2[Not on PPI 6m],Table2[OrgID],$D45,Table2[Rel_D],$D$61)</f>
        <v>57</v>
      </c>
      <c r="AZ45" s="69">
        <f>SUMIFS(Table2[14 Not on PPI, reviewed],Table2[OrgID],$D45,Table2[Rel_D],$D$61)</f>
        <v>9</v>
      </c>
      <c r="BA45" s="84">
        <f t="shared" si="3"/>
        <v>0.15789473684210525</v>
      </c>
      <c r="BB45" s="356">
        <v>0.27419354838709675</v>
      </c>
    </row>
    <row r="46" spans="3:54">
      <c r="C46" s="73" t="s">
        <v>176</v>
      </c>
      <c r="D46" s="74" t="s">
        <v>94</v>
      </c>
      <c r="E46" s="450">
        <f>SUMIFS(Table2[All currently registered regular patients aged 18+],Table2[OrgID],D46,Table2[Rel_D],Details!$D$61)</f>
        <v>6202</v>
      </c>
      <c r="F46" s="433" t="e">
        <f>SUMIFS(#REF!,#REF!,C46,#REF!,Details!$D$61)</f>
        <v>#REF!</v>
      </c>
      <c r="G46" s="115">
        <f>SUMIFS(Table2[A. Patients on the diabetes register],Table2[OrgID],D46,Table2[Rel_D],Details!$D$61)</f>
        <v>553</v>
      </c>
      <c r="H46" s="116">
        <f>SUMIFS(Table2[Type 2 diabetics],Table2[OrgID],D46,Table2[Rel_D],Details!$D$61)</f>
        <v>523</v>
      </c>
      <c r="I46" s="116">
        <f>SUMIFS(Table2[1 Diabetes review recorded or proxy 12m],Table2[OrgID],$D46,Table2[Rel_D],$D$61)</f>
        <v>363</v>
      </c>
      <c r="J46" s="234">
        <f t="shared" si="0"/>
        <v>0.6940726577437859</v>
      </c>
      <c r="K46" s="241">
        <v>0.34947368421052633</v>
      </c>
      <c r="L46" s="229">
        <f>SUMIFS(Table2[Eligible for triple target],Table2[OrgID],$D46,Table2[Rel_D],$D$61)</f>
        <v>360</v>
      </c>
      <c r="M46" s="116">
        <f>SUMIFS(Table2[3 Triple target achieved],Table2[OrgID],$D46,Table2[Rel_D],$D$61)</f>
        <v>45</v>
      </c>
      <c r="N46" s="234">
        <f t="shared" si="4"/>
        <v>0.125</v>
      </c>
      <c r="O46" s="287">
        <v>8.0357142857142863E-2</v>
      </c>
      <c r="P46" s="115">
        <f>SUMIFS(Table2[B. Patients on the COPD register],Table2[OrgID],$D46,Table2[Rel_D],$D$61)</f>
        <v>83</v>
      </c>
      <c r="Q46" s="229">
        <f>SUMIFS(Table2[4 COPD review coded or proxy (MRC) 12m],Table2[OrgID],$D46,Table2[Rel_D],$D$61)</f>
        <v>36</v>
      </c>
      <c r="R46" s="123">
        <f t="shared" si="5"/>
        <v>0.43373493975903615</v>
      </c>
      <c r="S46" s="241">
        <v>0.52222222222222225</v>
      </c>
      <c r="T46" s="116">
        <f>SUMIFS(Table2[6 CAT Score &amp; MRC scale recorded],Table2[OrgID],$D46,Table2[Rel_D],$D$61)</f>
        <v>25</v>
      </c>
      <c r="U46" s="123">
        <f t="shared" si="6"/>
        <v>0.69444444444444442</v>
      </c>
      <c r="V46" s="241">
        <v>0.63829787234042556</v>
      </c>
      <c r="W46" s="116">
        <f>SUMIFS(Table2[7 COPD action plan recorded 12m],Table2[OrgID],$D46,Table2[Rel_D],$D$61)</f>
        <v>33</v>
      </c>
      <c r="X46" s="234">
        <f t="shared" si="1"/>
        <v>0.91666666666666663</v>
      </c>
      <c r="Y46" s="249">
        <v>0.46808510638297873</v>
      </c>
      <c r="Z46" s="433">
        <f>SUMIFS(Table2[C. Patients on the asthma register],Table2[OrgID],$D46,Table2[Rel_D],$D$61)</f>
        <v>370</v>
      </c>
      <c r="AA46" s="434" t="e">
        <f>SUMIFS(#REF!,#REF!,$D46,#REF!,$D$61)</f>
        <v>#REF!</v>
      </c>
      <c r="AB46" s="2">
        <f>SUMIFS(Table2[8 Asthma review coded or proxy (inhaler technique) 12m],Table2[OrgID],$D46,Table2[Rel_D],$D$61)</f>
        <v>252</v>
      </c>
      <c r="AC46" s="93">
        <f t="shared" si="7"/>
        <v>0.68108108108108112</v>
      </c>
      <c r="AD46" s="260">
        <v>0.39465875370919884</v>
      </c>
      <c r="AE46" s="94">
        <f>SUMIFS(Table2[10 Asthma Action Plan recorded 12m],Table2[OrgID],$D46,Table2[Rel_D],$D$61)</f>
        <v>232</v>
      </c>
      <c r="AF46" s="93">
        <f t="shared" si="8"/>
        <v>0.92063492063492058</v>
      </c>
      <c r="AG46" s="260">
        <v>0.95488721804511278</v>
      </c>
      <c r="AH46" s="69">
        <f>SUMIFS(Table2[11 ACT recorded],Table2[OrgID],$D46,Table2[Rel_D],$D$61)</f>
        <v>237</v>
      </c>
      <c r="AI46" s="293">
        <f t="shared" si="2"/>
        <v>0.94047619047619047</v>
      </c>
      <c r="AJ46" s="300">
        <v>0.93233082706766912</v>
      </c>
      <c r="AK46" s="105">
        <f>SUMIFS(Table2[D. Patients on the hypertension register],Table2[OrgID],$D46,Table2[Rel_D],$D$61)</f>
        <v>895</v>
      </c>
      <c r="AL46" s="83">
        <f>SUMIFS(Table2[15 On target],Table2[OrgID],$D46,Table2[Rel_D],$D$61)</f>
        <v>477</v>
      </c>
      <c r="AM46" s="84">
        <f t="shared" si="9"/>
        <v>0.53296089385474865</v>
      </c>
      <c r="AN46" s="334">
        <v>0.30463576158940397</v>
      </c>
      <c r="AO46" s="83">
        <f>SUMIFS(Table2[Off target],Table2[OrgID],$D46,Table2[Rel_D],$D$61)</f>
        <v>418</v>
      </c>
      <c r="AP46" s="83">
        <f>SUMIFS(Table2[12 Off target, with clinical review (2)],Table2[OrgID],$D46,Table2[Rel_D],$D$61)</f>
        <v>141</v>
      </c>
      <c r="AQ46" s="84">
        <f t="shared" si="10"/>
        <v>0.33732057416267941</v>
      </c>
      <c r="AR46" s="340">
        <v>9.2063492063492069E-2</v>
      </c>
      <c r="AS46" s="322">
        <f>SUMIFS(Table2[E. Patients on the CHD or Stroke/TIA or PAD register],Table2[OrgID],$D46,Table2[Rel_D],$D$61)</f>
        <v>232</v>
      </c>
      <c r="AT46" s="100">
        <f>SUMIFS(Table2[13 Secondary prevention statins prescribed or offered in last 12m],Table2[OrgID],$D46,Table2[Rel_D],$D$61)</f>
        <v>111</v>
      </c>
      <c r="AU46" s="84">
        <f t="shared" si="11"/>
        <v>0.47844827586206895</v>
      </c>
      <c r="AV46" s="351">
        <v>0.43404255319148938</v>
      </c>
      <c r="AW46" s="433">
        <f>SUMIFS(Table2[F. Patients on anticoagulants or antiplatelets 6m],Table2[OrgID],Details!D46,Table2[Rel_D],Details!$D$61)</f>
        <v>326</v>
      </c>
      <c r="AX46" s="434" t="e">
        <f>SUMIFS(#REF!,#REF!,Details!#REF!,#REF!,Details!$D$61)</f>
        <v>#REF!</v>
      </c>
      <c r="AY46" s="2">
        <f>SUMIFS(Table2[Not on PPI 6m],Table2[OrgID],$D46,Table2[Rel_D],$D$61)</f>
        <v>145</v>
      </c>
      <c r="AZ46" s="69">
        <f>SUMIFS(Table2[14 Not on PPI, reviewed],Table2[OrgID],$D46,Table2[Rel_D],$D$61)</f>
        <v>30</v>
      </c>
      <c r="BA46" s="84">
        <f t="shared" si="3"/>
        <v>0.20689655172413793</v>
      </c>
      <c r="BB46" s="356">
        <v>0.10687022900763359</v>
      </c>
    </row>
    <row r="47" spans="3:54">
      <c r="C47" s="73" t="s">
        <v>177</v>
      </c>
      <c r="D47" s="74" t="s">
        <v>95</v>
      </c>
      <c r="E47" s="450">
        <f>SUMIFS(Table2[All currently registered regular patients aged 18+],Table2[OrgID],D47,Table2[Rel_D],Details!$D$61)</f>
        <v>4578</v>
      </c>
      <c r="F47" s="433" t="e">
        <f>SUMIFS(#REF!,#REF!,C47,#REF!,Details!$D$61)</f>
        <v>#REF!</v>
      </c>
      <c r="G47" s="115">
        <f>SUMIFS(Table2[A. Patients on the diabetes register],Table2[OrgID],D47,Table2[Rel_D],Details!$D$61)</f>
        <v>321</v>
      </c>
      <c r="H47" s="116">
        <f>SUMIFS(Table2[Type 2 diabetics],Table2[OrgID],D47,Table2[Rel_D],Details!$D$61)</f>
        <v>309</v>
      </c>
      <c r="I47" s="116">
        <f>SUMIFS(Table2[1 Diabetes review recorded or proxy 12m],Table2[OrgID],$D47,Table2[Rel_D],$D$61)</f>
        <v>183</v>
      </c>
      <c r="J47" s="234">
        <f t="shared" si="0"/>
        <v>0.59223300970873782</v>
      </c>
      <c r="K47" s="241">
        <v>0.16206896551724137</v>
      </c>
      <c r="L47" s="229">
        <f>SUMIFS(Table2[Eligible for triple target],Table2[OrgID],$D47,Table2[Rel_D],$D$61)</f>
        <v>110</v>
      </c>
      <c r="M47" s="116">
        <f>SUMIFS(Table2[3 Triple target achieved],Table2[OrgID],$D47,Table2[Rel_D],$D$61)</f>
        <v>9</v>
      </c>
      <c r="N47" s="234">
        <f t="shared" si="4"/>
        <v>8.1818181818181818E-2</v>
      </c>
      <c r="O47" s="287">
        <v>4.9261083743842365E-3</v>
      </c>
      <c r="P47" s="115">
        <f>SUMIFS(Table2[B. Patients on the COPD register],Table2[OrgID],$D47,Table2[Rel_D],$D$61)</f>
        <v>30</v>
      </c>
      <c r="Q47" s="229">
        <f>SUMIFS(Table2[4 COPD review coded or proxy (MRC) 12m],Table2[OrgID],$D47,Table2[Rel_D],$D$61)</f>
        <v>18</v>
      </c>
      <c r="R47" s="123">
        <f t="shared" si="5"/>
        <v>0.6</v>
      </c>
      <c r="S47" s="241">
        <v>0.33333333333333331</v>
      </c>
      <c r="T47" s="116">
        <f>SUMIFS(Table2[6 CAT Score &amp; MRC scale recorded],Table2[OrgID],$D47,Table2[Rel_D],$D$61)</f>
        <v>14</v>
      </c>
      <c r="U47" s="123">
        <f t="shared" si="6"/>
        <v>0.77777777777777779</v>
      </c>
      <c r="V47" s="241">
        <v>0.45454545454545453</v>
      </c>
      <c r="W47" s="116">
        <f>SUMIFS(Table2[7 COPD action plan recorded 12m],Table2[OrgID],$D47,Table2[Rel_D],$D$61)</f>
        <v>5</v>
      </c>
      <c r="X47" s="234">
        <f t="shared" si="1"/>
        <v>0.27777777777777779</v>
      </c>
      <c r="Y47" s="249">
        <v>9.0909090909090912E-2</v>
      </c>
      <c r="Z47" s="433">
        <f>SUMIFS(Table2[C. Patients on the asthma register],Table2[OrgID],$D47,Table2[Rel_D],$D$61)</f>
        <v>204</v>
      </c>
      <c r="AA47" s="434" t="e">
        <f>SUMIFS(#REF!,#REF!,$D47,#REF!,$D$61)</f>
        <v>#REF!</v>
      </c>
      <c r="AB47" s="2">
        <f>SUMIFS(Table2[8 Asthma review coded or proxy (inhaler technique) 12m],Table2[OrgID],$D47,Table2[Rel_D],$D$61)</f>
        <v>118</v>
      </c>
      <c r="AC47" s="93">
        <f t="shared" si="7"/>
        <v>0.57843137254901966</v>
      </c>
      <c r="AD47" s="260">
        <v>3.0456852791878174E-2</v>
      </c>
      <c r="AE47" s="94">
        <f>SUMIFS(Table2[10 Asthma Action Plan recorded 12m],Table2[OrgID],$D47,Table2[Rel_D],$D$61)</f>
        <v>116</v>
      </c>
      <c r="AF47" s="93">
        <f t="shared" si="8"/>
        <v>0.98305084745762716</v>
      </c>
      <c r="AG47" s="260">
        <v>0.66666666666666663</v>
      </c>
      <c r="AH47" s="69">
        <f>SUMIFS(Table2[11 ACT recorded],Table2[OrgID],$D47,Table2[Rel_D],$D$61)</f>
        <v>116</v>
      </c>
      <c r="AI47" s="293">
        <f t="shared" si="2"/>
        <v>0.98305084745762716</v>
      </c>
      <c r="AJ47" s="300">
        <v>0.5</v>
      </c>
      <c r="AK47" s="105">
        <f>SUMIFS(Table2[D. Patients on the hypertension register],Table2[OrgID],$D47,Table2[Rel_D],$D$61)</f>
        <v>500</v>
      </c>
      <c r="AL47" s="83">
        <f>SUMIFS(Table2[15 On target],Table2[OrgID],$D47,Table2[Rel_D],$D$61)</f>
        <v>222</v>
      </c>
      <c r="AM47" s="84">
        <f t="shared" si="9"/>
        <v>0.44400000000000001</v>
      </c>
      <c r="AN47" s="334">
        <v>0.1</v>
      </c>
      <c r="AO47" s="83">
        <f>SUMIFS(Table2[Off target],Table2[OrgID],$D47,Table2[Rel_D],$D$61)</f>
        <v>278</v>
      </c>
      <c r="AP47" s="83">
        <f>SUMIFS(Table2[12 Off target, with clinical review (2)],Table2[OrgID],$D47,Table2[Rel_D],$D$61)</f>
        <v>39</v>
      </c>
      <c r="AQ47" s="84">
        <f t="shared" si="10"/>
        <v>0.14028776978417265</v>
      </c>
      <c r="AR47" s="340">
        <v>0.04</v>
      </c>
      <c r="AS47" s="322">
        <f>SUMIFS(Table2[E. Patients on the CHD or Stroke/TIA or PAD register],Table2[OrgID],$D47,Table2[Rel_D],$D$61)</f>
        <v>133</v>
      </c>
      <c r="AT47" s="100">
        <f>SUMIFS(Table2[13 Secondary prevention statins prescribed or offered in last 12m],Table2[OrgID],$D47,Table2[Rel_D],$D$61)</f>
        <v>75</v>
      </c>
      <c r="AU47" s="84">
        <f t="shared" si="11"/>
        <v>0.56390977443609025</v>
      </c>
      <c r="AV47" s="351">
        <v>0.562962962962963</v>
      </c>
      <c r="AW47" s="433">
        <f>SUMIFS(Table2[F. Patients on anticoagulants or antiplatelets 6m],Table2[OrgID],Details!D47,Table2[Rel_D],Details!$D$61)</f>
        <v>188</v>
      </c>
      <c r="AX47" s="434" t="e">
        <f>SUMIFS(#REF!,#REF!,Details!#REF!,#REF!,Details!$D$61)</f>
        <v>#REF!</v>
      </c>
      <c r="AY47" s="2">
        <f>SUMIFS(Table2[Not on PPI 6m],Table2[OrgID],$D47,Table2[Rel_D],$D$61)</f>
        <v>89</v>
      </c>
      <c r="AZ47" s="69">
        <f>SUMIFS(Table2[14 Not on PPI, reviewed],Table2[OrgID],$D47,Table2[Rel_D],$D$61)</f>
        <v>7</v>
      </c>
      <c r="BA47" s="84">
        <f t="shared" si="3"/>
        <v>7.8651685393258425E-2</v>
      </c>
      <c r="BB47" s="356">
        <v>1.1111111111111112E-2</v>
      </c>
    </row>
    <row r="48" spans="3:54" ht="15.75" thickBot="1">
      <c r="C48" s="75" t="s">
        <v>178</v>
      </c>
      <c r="D48" s="76" t="s">
        <v>96</v>
      </c>
      <c r="E48" s="455">
        <f>SUMIFS(Table2[All currently registered regular patients aged 18+],Table2[OrgID],D48,Table2[Rel_D],Details!$D$61)</f>
        <v>7066</v>
      </c>
      <c r="F48" s="435" t="e">
        <f>SUMIFS(#REF!,#REF!,C48,#REF!,Details!$D$61)</f>
        <v>#REF!</v>
      </c>
      <c r="G48" s="117">
        <f>SUMIFS(Table2[A. Patients on the diabetes register],Table2[OrgID],D48,Table2[Rel_D],Details!$D$61)</f>
        <v>517</v>
      </c>
      <c r="H48" s="118">
        <f>SUMIFS(Table2[Type 2 diabetics],Table2[OrgID],D48,Table2[Rel_D],Details!$D$61)</f>
        <v>492</v>
      </c>
      <c r="I48" s="118">
        <f>SUMIFS(Table2[1 Diabetes review recorded or proxy 12m],Table2[OrgID],$D48,Table2[Rel_D],$D$61)</f>
        <v>285</v>
      </c>
      <c r="J48" s="236">
        <f t="shared" si="0"/>
        <v>0.57926829268292679</v>
      </c>
      <c r="K48" s="242">
        <v>0.33730158730158732</v>
      </c>
      <c r="L48" s="230">
        <f>SUMIFS(Table2[Eligible for triple target],Table2[OrgID],$D48,Table2[Rel_D],$D$61)</f>
        <v>358</v>
      </c>
      <c r="M48" s="118">
        <f>SUMIFS(Table2[3 Triple target achieved],Table2[OrgID],$D48,Table2[Rel_D],$D$61)</f>
        <v>35</v>
      </c>
      <c r="N48" s="236">
        <f t="shared" si="4"/>
        <v>9.7765363128491614E-2</v>
      </c>
      <c r="O48" s="287">
        <v>8.3094555873925502E-2</v>
      </c>
      <c r="P48" s="117">
        <f>SUMIFS(Table2[B. Patients on the COPD register],Table2[OrgID],$D48,Table2[Rel_D],$D$61)</f>
        <v>88</v>
      </c>
      <c r="Q48" s="230">
        <f>SUMIFS(Table2[4 COPD review coded or proxy (MRC) 12m],Table2[OrgID],$D48,Table2[Rel_D],$D$61)</f>
        <v>58</v>
      </c>
      <c r="R48" s="124">
        <f t="shared" si="5"/>
        <v>0.65909090909090906</v>
      </c>
      <c r="S48" s="242">
        <v>0.42708333333333331</v>
      </c>
      <c r="T48" s="118">
        <f>SUMIFS(Table2[6 CAT Score &amp; MRC scale recorded],Table2[OrgID],$D48,Table2[Rel_D],$D$61)</f>
        <v>55</v>
      </c>
      <c r="U48" s="124">
        <f t="shared" si="6"/>
        <v>0.94827586206896552</v>
      </c>
      <c r="V48" s="242">
        <v>0.70731707317073167</v>
      </c>
      <c r="W48" s="118">
        <f>SUMIFS(Table2[7 COPD action plan recorded 12m],Table2[OrgID],$D48,Table2[Rel_D],$D$61)</f>
        <v>47</v>
      </c>
      <c r="X48" s="236">
        <f t="shared" si="1"/>
        <v>0.81034482758620685</v>
      </c>
      <c r="Y48" s="250">
        <v>0.6097560975609756</v>
      </c>
      <c r="Z48" s="435">
        <f>SUMIFS(Table2[C. Patients on the asthma register],Table2[OrgID],$D48,Table2[Rel_D],$D$61)</f>
        <v>353</v>
      </c>
      <c r="AA48" s="436" t="e">
        <f>SUMIFS(#REF!,#REF!,$D48,#REF!,$D$61)</f>
        <v>#REF!</v>
      </c>
      <c r="AB48" s="3">
        <f>SUMIFS(Table2[8 Asthma review coded or proxy (inhaler technique) 12m],Table2[OrgID],$D48,Table2[Rel_D],$D$61)</f>
        <v>143</v>
      </c>
      <c r="AC48" s="95">
        <f t="shared" si="7"/>
        <v>0.40509915014164305</v>
      </c>
      <c r="AD48" s="261">
        <v>0.4065040650406504</v>
      </c>
      <c r="AE48" s="96">
        <f>SUMIFS(Table2[10 Asthma Action Plan recorded 12m],Table2[OrgID],$D48,Table2[Rel_D],$D$61)</f>
        <v>130</v>
      </c>
      <c r="AF48" s="95">
        <f t="shared" si="8"/>
        <v>0.90909090909090906</v>
      </c>
      <c r="AG48" s="261">
        <v>0.7466666666666667</v>
      </c>
      <c r="AH48" s="70">
        <f>SUMIFS(Table2[11 ACT recorded],Table2[OrgID],$D48,Table2[Rel_D],$D$61)</f>
        <v>130</v>
      </c>
      <c r="AI48" s="295">
        <f t="shared" si="2"/>
        <v>0.90909090909090906</v>
      </c>
      <c r="AJ48" s="301">
        <v>0.66666666666666663</v>
      </c>
      <c r="AK48" s="106">
        <f>SUMIFS(Table2[D. Patients on the hypertension register],Table2[OrgID],$D48,Table2[Rel_D],$D$61)</f>
        <v>1096</v>
      </c>
      <c r="AL48" s="85">
        <f>SUMIFS(Table2[15 On target],Table2[OrgID],$D48,Table2[Rel_D],$D$61)</f>
        <v>488</v>
      </c>
      <c r="AM48" s="86">
        <f t="shared" si="9"/>
        <v>0.44525547445255476</v>
      </c>
      <c r="AN48" s="335">
        <v>0.33510167992926615</v>
      </c>
      <c r="AO48" s="85">
        <f>SUMIFS(Table2[Off target],Table2[OrgID],$D48,Table2[Rel_D],$D$61)</f>
        <v>608</v>
      </c>
      <c r="AP48" s="85">
        <f>SUMIFS(Table2[12 Off target, with clinical review (2)],Table2[OrgID],$D48,Table2[Rel_D],$D$61)</f>
        <v>126</v>
      </c>
      <c r="AQ48" s="86">
        <f t="shared" si="10"/>
        <v>0.20723684210526316</v>
      </c>
      <c r="AR48" s="341">
        <v>9.5744680851063829E-2</v>
      </c>
      <c r="AS48" s="326">
        <f>SUMIFS(Table2[E. Patients on the CHD or Stroke/TIA or PAD register],Table2[OrgID],$D48,Table2[Rel_D],$D$61)</f>
        <v>259</v>
      </c>
      <c r="AT48" s="101">
        <f>SUMIFS(Table2[13 Secondary prevention statins prescribed or offered in last 12m],Table2[OrgID],$D48,Table2[Rel_D],$D$61)</f>
        <v>126</v>
      </c>
      <c r="AU48" s="86">
        <f t="shared" si="11"/>
        <v>0.48648648648648651</v>
      </c>
      <c r="AV48" s="350">
        <v>0.43579766536964981</v>
      </c>
      <c r="AW48" s="435">
        <f>SUMIFS(Table2[F. Patients on anticoagulants or antiplatelets 6m],Table2[OrgID],Details!D48,Table2[Rel_D],Details!$D$61)</f>
        <v>401</v>
      </c>
      <c r="AX48" s="436" t="e">
        <f>SUMIFS(#REF!,#REF!,Details!#REF!,#REF!,Details!$D$61)</f>
        <v>#REF!</v>
      </c>
      <c r="AY48" s="3">
        <f>SUMIFS(Table2[Not on PPI 6m],Table2[OrgID],$D48,Table2[Rel_D],$D$61)</f>
        <v>175</v>
      </c>
      <c r="AZ48" s="70">
        <f>SUMIFS(Table2[14 Not on PPI, reviewed],Table2[OrgID],$D48,Table2[Rel_D],$D$61)</f>
        <v>9</v>
      </c>
      <c r="BA48" s="86">
        <f t="shared" si="3"/>
        <v>5.1428571428571428E-2</v>
      </c>
      <c r="BB48" s="357">
        <v>8.9473684210526316E-2</v>
      </c>
    </row>
    <row r="49" spans="3:55" ht="18" customHeight="1" thickBot="1">
      <c r="C49" s="17" t="s">
        <v>179</v>
      </c>
      <c r="D49" s="18" t="s">
        <v>97</v>
      </c>
      <c r="E49" s="447">
        <f t="shared" ref="E49:F49" si="32">SUM(E44:E48)</f>
        <v>31859</v>
      </c>
      <c r="F49" s="448" t="e">
        <f t="shared" si="32"/>
        <v>#REF!</v>
      </c>
      <c r="G49" s="119">
        <f>SUM(G44:G48)</f>
        <v>2287</v>
      </c>
      <c r="H49" s="120">
        <f t="shared" ref="H49:W49" si="33">SUM(H44:H48)</f>
        <v>2174</v>
      </c>
      <c r="I49" s="120">
        <f t="shared" si="33"/>
        <v>1447</v>
      </c>
      <c r="J49" s="235">
        <f t="shared" si="0"/>
        <v>0.66559337626494941</v>
      </c>
      <c r="K49" s="235">
        <v>0.4427812650893288</v>
      </c>
      <c r="L49" s="239">
        <f t="shared" si="33"/>
        <v>1142</v>
      </c>
      <c r="M49" s="120">
        <f t="shared" si="33"/>
        <v>121</v>
      </c>
      <c r="N49" s="235">
        <f t="shared" si="4"/>
        <v>0.10595446584938704</v>
      </c>
      <c r="O49" s="235">
        <v>6.8215892053973007E-2</v>
      </c>
      <c r="P49" s="364">
        <f t="shared" si="33"/>
        <v>306</v>
      </c>
      <c r="Q49" s="217">
        <f t="shared" si="33"/>
        <v>197</v>
      </c>
      <c r="R49" s="128">
        <f t="shared" si="5"/>
        <v>0.64379084967320266</v>
      </c>
      <c r="S49" s="128">
        <v>0.54573170731707321</v>
      </c>
      <c r="T49" s="127">
        <f t="shared" si="33"/>
        <v>168</v>
      </c>
      <c r="U49" s="128">
        <f t="shared" si="6"/>
        <v>0.85279187817258884</v>
      </c>
      <c r="V49" s="251">
        <v>0.60893854748603349</v>
      </c>
      <c r="W49" s="127">
        <f t="shared" si="33"/>
        <v>145</v>
      </c>
      <c r="X49" s="243">
        <f t="shared" si="1"/>
        <v>0.73604060913705582</v>
      </c>
      <c r="Y49" s="254">
        <v>0.53631284916201116</v>
      </c>
      <c r="Z49" s="445">
        <f t="shared" ref="Z49:AA49" si="34">SUM(Z44:Z48)</f>
        <v>1789</v>
      </c>
      <c r="AA49" s="446" t="e">
        <f t="shared" si="34"/>
        <v>#REF!</v>
      </c>
      <c r="AB49" s="130">
        <f>SUM(AB44:AB48)</f>
        <v>1116</v>
      </c>
      <c r="AC49" s="131">
        <f t="shared" si="7"/>
        <v>0.62381218557853546</v>
      </c>
      <c r="AD49" s="131">
        <v>0.45793838862559244</v>
      </c>
      <c r="AE49" s="132">
        <f>SUM(AE44:AE48)</f>
        <v>1068</v>
      </c>
      <c r="AF49" s="131">
        <f t="shared" si="8"/>
        <v>0.956989247311828</v>
      </c>
      <c r="AG49" s="131">
        <v>0.81241914618369993</v>
      </c>
      <c r="AH49" s="133">
        <f>SUM(AH44:AH48)</f>
        <v>1083</v>
      </c>
      <c r="AI49" s="294">
        <f t="shared" si="2"/>
        <v>0.97043010752688175</v>
      </c>
      <c r="AJ49" s="134">
        <v>0.62225097024579556</v>
      </c>
      <c r="AK49" s="137">
        <f>SUM(AK44:AK48)</f>
        <v>4171</v>
      </c>
      <c r="AL49" s="138">
        <f>SUM(AL44:AL48)</f>
        <v>2003</v>
      </c>
      <c r="AM49" s="139">
        <f t="shared" si="9"/>
        <v>0.48022057060656914</v>
      </c>
      <c r="AN49" s="139">
        <v>0.32585083272990589</v>
      </c>
      <c r="AO49" s="138">
        <f>SUM(AO44:AO48)</f>
        <v>2168</v>
      </c>
      <c r="AP49" s="138">
        <f>SUM(AP44:AP48)</f>
        <v>601</v>
      </c>
      <c r="AQ49" s="139">
        <f t="shared" si="10"/>
        <v>0.27721402214022139</v>
      </c>
      <c r="AR49" s="306">
        <v>9.3447905477980667E-2</v>
      </c>
      <c r="AS49" s="324">
        <f>SUM(AS44:AS48)</f>
        <v>1024</v>
      </c>
      <c r="AT49" s="143">
        <f>SUM(AT44:AT48)</f>
        <v>509</v>
      </c>
      <c r="AU49" s="309">
        <f t="shared" si="11"/>
        <v>0.4970703125</v>
      </c>
      <c r="AV49" s="312">
        <v>0.46477495107632094</v>
      </c>
      <c r="AW49" s="441">
        <f t="shared" ref="AW49:AX49" si="35">SUM(AW44:AW48)</f>
        <v>1497</v>
      </c>
      <c r="AX49" s="442" t="e">
        <f t="shared" si="35"/>
        <v>#REF!</v>
      </c>
      <c r="AY49" s="144">
        <f>SUM(AY44:AY48)</f>
        <v>673</v>
      </c>
      <c r="AZ49" s="145">
        <f>SUM(AZ44:AZ48)</f>
        <v>63</v>
      </c>
      <c r="BA49" s="315">
        <f t="shared" si="3"/>
        <v>9.3610698365527489E-2</v>
      </c>
      <c r="BB49" s="353">
        <v>7.7496274217585689E-2</v>
      </c>
    </row>
    <row r="50" spans="3:55">
      <c r="C50" s="77" t="s">
        <v>180</v>
      </c>
      <c r="D50" s="79" t="s">
        <v>98</v>
      </c>
      <c r="E50" s="449">
        <f>SUMIFS(Table2[All currently registered regular patients aged 18+],Table2[OrgID],D50,Table2[Rel_D],Details!$D$61)</f>
        <v>5360</v>
      </c>
      <c r="F50" s="431" t="e">
        <f>SUMIFS(#REF!,#REF!,C50,#REF!,Details!$D$61)</f>
        <v>#REF!</v>
      </c>
      <c r="G50" s="121">
        <f>SUMIFS(Table2[A. Patients on the diabetes register],Table2[OrgID],D50,Table2[Rel_D],Details!$D$61)</f>
        <v>445</v>
      </c>
      <c r="H50" s="122">
        <f>SUMIFS(Table2[Type 2 diabetics],Table2[OrgID],D50,Table2[Rel_D],Details!$D$61)</f>
        <v>423</v>
      </c>
      <c r="I50" s="122">
        <f>SUMIFS(Table2[1 Diabetes review recorded or proxy 12m],Table2[OrgID],$D50,Table2[Rel_D],$D$61)</f>
        <v>303</v>
      </c>
      <c r="J50" s="237">
        <f t="shared" si="0"/>
        <v>0.71631205673758869</v>
      </c>
      <c r="K50" s="240">
        <v>0.5879396984924623</v>
      </c>
      <c r="L50" s="231">
        <f>SUMIFS(Table2[Eligible for triple target],Table2[OrgID],$D50,Table2[Rel_D],$D$61)</f>
        <v>291</v>
      </c>
      <c r="M50" s="122">
        <f>SUMIFS(Table2[3 Triple target achieved],Table2[OrgID],$D50,Table2[Rel_D],$D$61)</f>
        <v>34</v>
      </c>
      <c r="N50" s="237">
        <f t="shared" si="4"/>
        <v>0.11683848797250859</v>
      </c>
      <c r="O50" s="287">
        <v>9.7826086956521743E-2</v>
      </c>
      <c r="P50" s="121">
        <f>SUMIFS(Table2[B. Patients on the COPD register],Table2[OrgID],$D50,Table2[Rel_D],$D$61)</f>
        <v>55</v>
      </c>
      <c r="Q50" s="231">
        <f>SUMIFS(Table2[4 COPD review coded or proxy (MRC) 12m],Table2[OrgID],$D50,Table2[Rel_D],$D$61)</f>
        <v>10</v>
      </c>
      <c r="R50" s="125">
        <f t="shared" si="5"/>
        <v>0.18181818181818182</v>
      </c>
      <c r="S50" s="240">
        <v>0.73684210526315785</v>
      </c>
      <c r="T50" s="122">
        <f>SUMIFS(Table2[6 CAT Score &amp; MRC scale recorded],Table2[OrgID],$D50,Table2[Rel_D],$D$61)</f>
        <v>6</v>
      </c>
      <c r="U50" s="125">
        <f t="shared" si="6"/>
        <v>0.6</v>
      </c>
      <c r="V50" s="240">
        <v>0.69047619047619047</v>
      </c>
      <c r="W50" s="122">
        <f>SUMIFS(Table2[7 COPD action plan recorded 12m],Table2[OrgID],$D50,Table2[Rel_D],$D$61)</f>
        <v>2</v>
      </c>
      <c r="X50" s="237">
        <f t="shared" si="1"/>
        <v>0.2</v>
      </c>
      <c r="Y50" s="248">
        <v>0.5714285714285714</v>
      </c>
      <c r="Z50" s="431">
        <f>SUMIFS(Table2[C. Patients on the asthma register],Table2[OrgID],$D50,Table2[Rel_D],$D$61)</f>
        <v>244</v>
      </c>
      <c r="AA50" s="432" t="e">
        <f>SUMIFS(#REF!,#REF!,$D50,#REF!,$D$61)</f>
        <v>#REF!</v>
      </c>
      <c r="AB50" s="12">
        <f>SUMIFS(Table2[8 Asthma review coded or proxy (inhaler technique) 12m],Table2[OrgID],$D50,Table2[Rel_D],$D$61)</f>
        <v>122</v>
      </c>
      <c r="AC50" s="135">
        <f t="shared" si="7"/>
        <v>0.5</v>
      </c>
      <c r="AD50" s="262">
        <v>0.48547717842323651</v>
      </c>
      <c r="AE50" s="136">
        <f>SUMIFS(Table2[10 Asthma Action Plan recorded 12m],Table2[OrgID],$D50,Table2[Rel_D],$D$61)</f>
        <v>121</v>
      </c>
      <c r="AF50" s="135">
        <f t="shared" si="8"/>
        <v>0.99180327868852458</v>
      </c>
      <c r="AG50" s="262">
        <v>0.74358974358974361</v>
      </c>
      <c r="AH50" s="80">
        <f>SUMIFS(Table2[11 ACT recorded],Table2[OrgID],$D50,Table2[Rel_D],$D$61)</f>
        <v>120</v>
      </c>
      <c r="AI50" s="296">
        <f t="shared" si="2"/>
        <v>0.98360655737704916</v>
      </c>
      <c r="AJ50" s="302">
        <v>0.76068376068376065</v>
      </c>
      <c r="AK50" s="110">
        <f>SUMIFS(Table2[D. Patients on the hypertension register],Table2[OrgID],$D50,Table2[Rel_D],$D$61)</f>
        <v>850</v>
      </c>
      <c r="AL50" s="91">
        <f>SUMIFS(Table2[15 On target],Table2[OrgID],$D50,Table2[Rel_D],$D$61)</f>
        <v>355</v>
      </c>
      <c r="AM50" s="92">
        <f t="shared" si="9"/>
        <v>0.41764705882352943</v>
      </c>
      <c r="AN50" s="338">
        <v>0.41656365883807167</v>
      </c>
      <c r="AO50" s="91">
        <f>SUMIFS(Table2[Off target],Table2[OrgID],$D50,Table2[Rel_D],$D$61)</f>
        <v>495</v>
      </c>
      <c r="AP50" s="91">
        <f>SUMIFS(Table2[12 Off target, with clinical review (2)],Table2[OrgID],$D50,Table2[Rel_D],$D$61)</f>
        <v>194</v>
      </c>
      <c r="AQ50" s="92">
        <f t="shared" si="10"/>
        <v>0.39191919191919194</v>
      </c>
      <c r="AR50" s="343">
        <v>0.22245762711864406</v>
      </c>
      <c r="AS50" s="328">
        <f>SUMIFS(Table2[E. Patients on the CHD or Stroke/TIA or PAD register],Table2[OrgID],$D50,Table2[Rel_D],$D$61)</f>
        <v>170</v>
      </c>
      <c r="AT50" s="103">
        <f>SUMIFS(Table2[13 Secondary prevention statins prescribed or offered in last 12m],Table2[OrgID],$D50,Table2[Rel_D],$D$61)</f>
        <v>107</v>
      </c>
      <c r="AU50" s="92">
        <f t="shared" si="11"/>
        <v>0.62941176470588234</v>
      </c>
      <c r="AV50" s="352">
        <v>0.54117647058823526</v>
      </c>
      <c r="AW50" s="443">
        <f>SUMIFS(Table2[F. Patients on anticoagulants or antiplatelets 6m],Table2[OrgID],Details!D50,Table2[Rel_D],Details!$D$61)</f>
        <v>284</v>
      </c>
      <c r="AX50" s="444" t="e">
        <f>SUMIFS(#REF!,#REF!,Details!#REF!,#REF!,Details!$D$61)</f>
        <v>#REF!</v>
      </c>
      <c r="AY50" s="12">
        <f>SUMIFS(Table2[Not on PPI 6m],Table2[OrgID],$D50,Table2[Rel_D],$D$61)</f>
        <v>128</v>
      </c>
      <c r="AZ50" s="80">
        <f>SUMIFS(Table2[14 Not on PPI, reviewed],Table2[OrgID],$D50,Table2[Rel_D],$D$61)</f>
        <v>20</v>
      </c>
      <c r="BA50" s="92">
        <f t="shared" si="3"/>
        <v>0.15625</v>
      </c>
      <c r="BB50" s="358">
        <v>3.6764705882352942E-2</v>
      </c>
    </row>
    <row r="51" spans="3:55">
      <c r="C51" s="73" t="s">
        <v>181</v>
      </c>
      <c r="D51" s="74" t="s">
        <v>99</v>
      </c>
      <c r="E51" s="450">
        <f>SUMIFS(Table2[All currently registered regular patients aged 18+],Table2[OrgID],D51,Table2[Rel_D],Details!$D$61)</f>
        <v>6306</v>
      </c>
      <c r="F51" s="433" t="e">
        <f>SUMIFS(#REF!,#REF!,C51,#REF!,Details!$D$61)</f>
        <v>#REF!</v>
      </c>
      <c r="G51" s="115">
        <f>SUMIFS(Table2[A. Patients on the diabetes register],Table2[OrgID],D51,Table2[Rel_D],Details!$D$61)</f>
        <v>556</v>
      </c>
      <c r="H51" s="116">
        <f>SUMIFS(Table2[Type 2 diabetics],Table2[OrgID],D51,Table2[Rel_D],Details!$D$61)</f>
        <v>538</v>
      </c>
      <c r="I51" s="116">
        <f>SUMIFS(Table2[1 Diabetes review recorded or proxy 12m],Table2[OrgID],$D51,Table2[Rel_D],$D$61)</f>
        <v>489</v>
      </c>
      <c r="J51" s="234">
        <f t="shared" si="0"/>
        <v>0.90892193308550184</v>
      </c>
      <c r="K51" s="241">
        <v>0.88081936685288642</v>
      </c>
      <c r="L51" s="229">
        <f>SUMIFS(Table2[Eligible for triple target],Table2[OrgID],$D51,Table2[Rel_D],$D$61)</f>
        <v>454</v>
      </c>
      <c r="M51" s="116">
        <f>SUMIFS(Table2[3 Triple target achieved],Table2[OrgID],$D51,Table2[Rel_D],$D$61)</f>
        <v>141</v>
      </c>
      <c r="N51" s="234">
        <f t="shared" si="4"/>
        <v>0.31057268722466963</v>
      </c>
      <c r="O51" s="287">
        <v>0.29910714285714285</v>
      </c>
      <c r="P51" s="115">
        <f>SUMIFS(Table2[B. Patients on the COPD register],Table2[OrgID],$D51,Table2[Rel_D],$D$61)</f>
        <v>38</v>
      </c>
      <c r="Q51" s="229">
        <f>SUMIFS(Table2[4 COPD review coded or proxy (MRC) 12m],Table2[OrgID],$D51,Table2[Rel_D],$D$61)</f>
        <v>34</v>
      </c>
      <c r="R51" s="123">
        <f t="shared" si="5"/>
        <v>0.89473684210526316</v>
      </c>
      <c r="S51" s="241">
        <v>0.34210526315789475</v>
      </c>
      <c r="T51" s="116">
        <f>SUMIFS(Table2[6 CAT Score &amp; MRC scale recorded],Table2[OrgID],$D51,Table2[Rel_D],$D$61)</f>
        <v>33</v>
      </c>
      <c r="U51" s="123">
        <f t="shared" si="6"/>
        <v>0.97058823529411764</v>
      </c>
      <c r="V51" s="241">
        <v>0.84615384615384615</v>
      </c>
      <c r="W51" s="116">
        <f>SUMIFS(Table2[7 COPD action plan recorded 12m],Table2[OrgID],$D51,Table2[Rel_D],$D$61)</f>
        <v>29</v>
      </c>
      <c r="X51" s="234">
        <f t="shared" si="1"/>
        <v>0.8529411764705882</v>
      </c>
      <c r="Y51" s="249">
        <v>0.69230769230769229</v>
      </c>
      <c r="Z51" s="433">
        <f>SUMIFS(Table2[C. Patients on the asthma register],Table2[OrgID],$D51,Table2[Rel_D],$D$61)</f>
        <v>357</v>
      </c>
      <c r="AA51" s="434" t="e">
        <f>SUMIFS(#REF!,#REF!,$D51,#REF!,$D$61)</f>
        <v>#REF!</v>
      </c>
      <c r="AB51" s="2">
        <f>SUMIFS(Table2[8 Asthma review coded or proxy (inhaler technique) 12m],Table2[OrgID],$D51,Table2[Rel_D],$D$61)</f>
        <v>309</v>
      </c>
      <c r="AC51" s="93">
        <f t="shared" si="7"/>
        <v>0.86554621848739499</v>
      </c>
      <c r="AD51" s="260">
        <v>0.75882352941176467</v>
      </c>
      <c r="AE51" s="94">
        <f>SUMIFS(Table2[10 Asthma Action Plan recorded 12m],Table2[OrgID],$D51,Table2[Rel_D],$D$61)</f>
        <v>305</v>
      </c>
      <c r="AF51" s="93">
        <f t="shared" si="8"/>
        <v>0.98705501618122982</v>
      </c>
      <c r="AG51" s="260">
        <v>0.77906976744186052</v>
      </c>
      <c r="AH51" s="69">
        <f>SUMIFS(Table2[11 ACT recorded],Table2[OrgID],$D51,Table2[Rel_D],$D$61)</f>
        <v>302</v>
      </c>
      <c r="AI51" s="293">
        <f t="shared" si="2"/>
        <v>0.97734627831715215</v>
      </c>
      <c r="AJ51" s="300">
        <v>0.85658914728682167</v>
      </c>
      <c r="AK51" s="105">
        <f>SUMIFS(Table2[D. Patients on the hypertension register],Table2[OrgID],$D51,Table2[Rel_D],$D$61)</f>
        <v>739</v>
      </c>
      <c r="AL51" s="83">
        <f>SUMIFS(Table2[15 On target],Table2[OrgID],$D51,Table2[Rel_D],$D$61)</f>
        <v>544</v>
      </c>
      <c r="AM51" s="84">
        <f t="shared" si="9"/>
        <v>0.73612990527740185</v>
      </c>
      <c r="AN51" s="334">
        <v>0.49858757062146891</v>
      </c>
      <c r="AO51" s="83">
        <f>SUMIFS(Table2[Off target],Table2[OrgID],$D51,Table2[Rel_D],$D$61)</f>
        <v>195</v>
      </c>
      <c r="AP51" s="83">
        <f>SUMIFS(Table2[12 Off target, with clinical review (2)],Table2[OrgID],$D51,Table2[Rel_D],$D$61)</f>
        <v>89</v>
      </c>
      <c r="AQ51" s="84">
        <f t="shared" si="10"/>
        <v>0.4564102564102564</v>
      </c>
      <c r="AR51" s="340">
        <v>0.17464788732394365</v>
      </c>
      <c r="AS51" s="322">
        <f>SUMIFS(Table2[E. Patients on the CHD or Stroke/TIA or PAD register],Table2[OrgID],$D51,Table2[Rel_D],$D$61)</f>
        <v>199</v>
      </c>
      <c r="AT51" s="100">
        <f>SUMIFS(Table2[13 Secondary prevention statins prescribed or offered in last 12m],Table2[OrgID],$D51,Table2[Rel_D],$D$61)</f>
        <v>131</v>
      </c>
      <c r="AU51" s="84">
        <f t="shared" si="11"/>
        <v>0.65829145728643212</v>
      </c>
      <c r="AV51" s="351">
        <v>0.62745098039215685</v>
      </c>
      <c r="AW51" s="433">
        <f>SUMIFS(Table2[F. Patients on anticoagulants or antiplatelets 6m],Table2[OrgID],Details!D51,Table2[Rel_D],Details!$D$61)</f>
        <v>329</v>
      </c>
      <c r="AX51" s="434" t="e">
        <f>SUMIFS(#REF!,#REF!,Details!#REF!,#REF!,Details!$D$61)</f>
        <v>#REF!</v>
      </c>
      <c r="AY51" s="2">
        <f>SUMIFS(Table2[Not on PPI 6m],Table2[OrgID],$D51,Table2[Rel_D],$D$61)</f>
        <v>156</v>
      </c>
      <c r="AZ51" s="69">
        <f>SUMIFS(Table2[14 Not on PPI, reviewed],Table2[OrgID],$D51,Table2[Rel_D],$D$61)</f>
        <v>21</v>
      </c>
      <c r="BA51" s="84">
        <f t="shared" si="3"/>
        <v>0.13461538461538461</v>
      </c>
      <c r="BB51" s="356">
        <v>7.6433121019108277E-2</v>
      </c>
    </row>
    <row r="52" spans="3:55">
      <c r="C52" s="73" t="s">
        <v>182</v>
      </c>
      <c r="D52" s="74" t="s">
        <v>100</v>
      </c>
      <c r="E52" s="450">
        <f>SUMIFS(Table2[All currently registered regular patients aged 18+],Table2[OrgID],D52,Table2[Rel_D],Details!$D$61)</f>
        <v>5695</v>
      </c>
      <c r="F52" s="433" t="e">
        <f>SUMIFS(#REF!,#REF!,C52,#REF!,Details!$D$61)</f>
        <v>#REF!</v>
      </c>
      <c r="G52" s="115">
        <f>SUMIFS(Table2[A. Patients on the diabetes register],Table2[OrgID],D52,Table2[Rel_D],Details!$D$61)</f>
        <v>452</v>
      </c>
      <c r="H52" s="116">
        <f>SUMIFS(Table2[Type 2 diabetics],Table2[OrgID],D52,Table2[Rel_D],Details!$D$61)</f>
        <v>425</v>
      </c>
      <c r="I52" s="116">
        <f>SUMIFS(Table2[1 Diabetes review recorded or proxy 12m],Table2[OrgID],$D52,Table2[Rel_D],$D$61)</f>
        <v>189</v>
      </c>
      <c r="J52" s="234">
        <f t="shared" si="0"/>
        <v>0.44470588235294117</v>
      </c>
      <c r="K52" s="241">
        <v>0.32786885245901637</v>
      </c>
      <c r="L52" s="229">
        <f>SUMIFS(Table2[Eligible for triple target],Table2[OrgID],$D52,Table2[Rel_D],$D$61)</f>
        <v>328</v>
      </c>
      <c r="M52" s="116">
        <f>SUMIFS(Table2[3 Triple target achieved],Table2[OrgID],$D52,Table2[Rel_D],$D$61)</f>
        <v>33</v>
      </c>
      <c r="N52" s="234">
        <f t="shared" si="4"/>
        <v>0.10060975609756098</v>
      </c>
      <c r="O52" s="287">
        <v>0.1465798045602606</v>
      </c>
      <c r="P52" s="115">
        <f>SUMIFS(Table2[B. Patients on the COPD register],Table2[OrgID],$D52,Table2[Rel_D],$D$61)</f>
        <v>61</v>
      </c>
      <c r="Q52" s="229">
        <f>SUMIFS(Table2[4 COPD review coded or proxy (MRC) 12m],Table2[OrgID],$D52,Table2[Rel_D],$D$61)</f>
        <v>44</v>
      </c>
      <c r="R52" s="123">
        <f t="shared" si="5"/>
        <v>0.72131147540983609</v>
      </c>
      <c r="S52" s="241">
        <v>0.29230769230769232</v>
      </c>
      <c r="T52" s="116">
        <f>SUMIFS(Table2[6 CAT Score &amp; MRC scale recorded],Table2[OrgID],$D52,Table2[Rel_D],$D$61)</f>
        <v>36</v>
      </c>
      <c r="U52" s="123">
        <f t="shared" si="6"/>
        <v>0.81818181818181823</v>
      </c>
      <c r="V52" s="241">
        <v>0.21052631578947367</v>
      </c>
      <c r="W52" s="116">
        <f>SUMIFS(Table2[7 COPD action plan recorded 12m],Table2[OrgID],$D52,Table2[Rel_D],$D$61)</f>
        <v>16</v>
      </c>
      <c r="X52" s="234">
        <f t="shared" si="1"/>
        <v>0.36363636363636365</v>
      </c>
      <c r="Y52" s="249">
        <v>5.2631578947368418E-2</v>
      </c>
      <c r="Z52" s="433">
        <f>SUMIFS(Table2[C. Patients on the asthma register],Table2[OrgID],$D52,Table2[Rel_D],$D$61)</f>
        <v>271</v>
      </c>
      <c r="AA52" s="434" t="e">
        <f>SUMIFS(#REF!,#REF!,$D52,#REF!,$D$61)</f>
        <v>#REF!</v>
      </c>
      <c r="AB52" s="2">
        <f>SUMIFS(Table2[8 Asthma review coded or proxy (inhaler technique) 12m],Table2[OrgID],$D52,Table2[Rel_D],$D$61)</f>
        <v>127</v>
      </c>
      <c r="AC52" s="93">
        <f t="shared" si="7"/>
        <v>0.46863468634686345</v>
      </c>
      <c r="AD52" s="260">
        <v>0.46718146718146719</v>
      </c>
      <c r="AE52" s="94">
        <f>SUMIFS(Table2[10 Asthma Action Plan recorded 12m],Table2[OrgID],$D52,Table2[Rel_D],$D$61)</f>
        <v>107</v>
      </c>
      <c r="AF52" s="93">
        <f t="shared" si="8"/>
        <v>0.84251968503937003</v>
      </c>
      <c r="AG52" s="260">
        <v>0.58677685950413228</v>
      </c>
      <c r="AH52" s="69">
        <f>SUMIFS(Table2[11 ACT recorded],Table2[OrgID],$D52,Table2[Rel_D],$D$61)</f>
        <v>112</v>
      </c>
      <c r="AI52" s="293">
        <f t="shared" si="2"/>
        <v>0.88188976377952755</v>
      </c>
      <c r="AJ52" s="300">
        <v>0.37190082644628097</v>
      </c>
      <c r="AK52" s="105">
        <f>SUMIFS(Table2[D. Patients on the hypertension register],Table2[OrgID],$D52,Table2[Rel_D],$D$61)</f>
        <v>804</v>
      </c>
      <c r="AL52" s="83">
        <f>SUMIFS(Table2[15 On target],Table2[OrgID],$D52,Table2[Rel_D],$D$61)</f>
        <v>332</v>
      </c>
      <c r="AM52" s="84">
        <f t="shared" si="9"/>
        <v>0.41293532338308458</v>
      </c>
      <c r="AN52" s="334">
        <v>0.31623931623931623</v>
      </c>
      <c r="AO52" s="83">
        <f>SUMIFS(Table2[Off target],Table2[OrgID],$D52,Table2[Rel_D],$D$61)</f>
        <v>472</v>
      </c>
      <c r="AP52" s="83">
        <f>SUMIFS(Table2[12 Off target, with clinical review (2)],Table2[OrgID],$D52,Table2[Rel_D],$D$61)</f>
        <v>94</v>
      </c>
      <c r="AQ52" s="84">
        <f t="shared" si="10"/>
        <v>0.19915254237288135</v>
      </c>
      <c r="AR52" s="340">
        <v>9.464285714285714E-2</v>
      </c>
      <c r="AS52" s="322">
        <f>SUMIFS(Table2[E. Patients on the CHD or Stroke/TIA or PAD register],Table2[OrgID],$D52,Table2[Rel_D],$D$61)</f>
        <v>194</v>
      </c>
      <c r="AT52" s="100">
        <f>SUMIFS(Table2[13 Secondary prevention statins prescribed or offered in last 12m],Table2[OrgID],$D52,Table2[Rel_D],$D$61)</f>
        <v>115</v>
      </c>
      <c r="AU52" s="84">
        <f t="shared" si="11"/>
        <v>0.59278350515463918</v>
      </c>
      <c r="AV52" s="351">
        <v>0.51980198019801982</v>
      </c>
      <c r="AW52" s="433">
        <f>SUMIFS(Table2[F. Patients on anticoagulants or antiplatelets 6m],Table2[OrgID],Details!D52,Table2[Rel_D],Details!$D$61)</f>
        <v>284</v>
      </c>
      <c r="AX52" s="434" t="e">
        <f>SUMIFS(#REF!,#REF!,Details!#REF!,#REF!,Details!$D$61)</f>
        <v>#REF!</v>
      </c>
      <c r="AY52" s="2">
        <f>SUMIFS(Table2[Not on PPI 6m],Table2[OrgID],$D52,Table2[Rel_D],$D$61)</f>
        <v>146</v>
      </c>
      <c r="AZ52" s="69">
        <f>SUMIFS(Table2[14 Not on PPI, reviewed],Table2[OrgID],$D52,Table2[Rel_D],$D$61)</f>
        <v>42</v>
      </c>
      <c r="BA52" s="84">
        <f t="shared" si="3"/>
        <v>0.28767123287671231</v>
      </c>
      <c r="BB52" s="356">
        <v>0.21568627450980393</v>
      </c>
    </row>
    <row r="53" spans="3:55">
      <c r="C53" s="73" t="s">
        <v>183</v>
      </c>
      <c r="D53" s="74" t="s">
        <v>101</v>
      </c>
      <c r="E53" s="450">
        <f>SUMIFS(Table2[All currently registered regular patients aged 18+],Table2[OrgID],D53,Table2[Rel_D],Details!$D$61)</f>
        <v>4725</v>
      </c>
      <c r="F53" s="456" t="e">
        <f>SUMIFS(#REF!,#REF!,C53,#REF!,Details!$D$61)</f>
        <v>#REF!</v>
      </c>
      <c r="G53" s="115">
        <f>SUMIFS(Table2[A. Patients on the diabetes register],Table2[OrgID],D53,Table2[Rel_D],Details!$D$61)</f>
        <v>241</v>
      </c>
      <c r="H53" s="116">
        <f>SUMIFS(Table2[Type 2 diabetics],Table2[OrgID],D53,Table2[Rel_D],Details!$D$61)</f>
        <v>223</v>
      </c>
      <c r="I53" s="116">
        <f>SUMIFS(Table2[1 Diabetes review recorded or proxy 12m],Table2[OrgID],$D53,Table2[Rel_D],$D$61)</f>
        <v>214</v>
      </c>
      <c r="J53" s="234">
        <f t="shared" si="0"/>
        <v>0.95964125560538116</v>
      </c>
      <c r="K53" s="241">
        <v>0.85046728971962615</v>
      </c>
      <c r="L53" s="229">
        <f>SUMIFS(Table2[Eligible for triple target],Table2[OrgID],$D53,Table2[Rel_D],$D$61)</f>
        <v>171</v>
      </c>
      <c r="M53" s="116">
        <f>SUMIFS(Table2[3 Triple target achieved],Table2[OrgID],$D53,Table2[Rel_D],$D$61)</f>
        <v>44</v>
      </c>
      <c r="N53" s="234">
        <f t="shared" si="4"/>
        <v>0.25730994152046782</v>
      </c>
      <c r="O53" s="287">
        <v>0.38513513513513514</v>
      </c>
      <c r="P53" s="115">
        <f>SUMIFS(Table2[B. Patients on the COPD register],Table2[OrgID],$D53,Table2[Rel_D],$D$61)</f>
        <v>32</v>
      </c>
      <c r="Q53" s="229">
        <f>SUMIFS(Table2[4 COPD review coded or proxy (MRC) 12m],Table2[OrgID],$D53,Table2[Rel_D],$D$61)</f>
        <v>29</v>
      </c>
      <c r="R53" s="123">
        <f t="shared" si="5"/>
        <v>0.90625</v>
      </c>
      <c r="S53" s="241">
        <v>1</v>
      </c>
      <c r="T53" s="116">
        <f>SUMIFS(Table2[6 CAT Score &amp; MRC scale recorded],Table2[OrgID],$D53,Table2[Rel_D],$D$61)</f>
        <v>25</v>
      </c>
      <c r="U53" s="123">
        <f t="shared" si="6"/>
        <v>0.86206896551724133</v>
      </c>
      <c r="V53" s="241">
        <v>0.32142857142857145</v>
      </c>
      <c r="W53" s="116">
        <f>SUMIFS(Table2[7 COPD action plan recorded 12m],Table2[OrgID],$D53,Table2[Rel_D],$D$61)</f>
        <v>29</v>
      </c>
      <c r="X53" s="234">
        <f t="shared" si="1"/>
        <v>1</v>
      </c>
      <c r="Y53" s="249">
        <v>0.9642857142857143</v>
      </c>
      <c r="Z53" s="433">
        <f>SUMIFS(Table2[C. Patients on the asthma register],Table2[OrgID],$D53,Table2[Rel_D],$D$61)</f>
        <v>213</v>
      </c>
      <c r="AA53" s="434" t="e">
        <f>SUMIFS(#REF!,#REF!,$D53,#REF!,$D$61)</f>
        <v>#REF!</v>
      </c>
      <c r="AB53" s="2">
        <f>SUMIFS(Table2[8 Asthma review coded or proxy (inhaler technique) 12m],Table2[OrgID],$D53,Table2[Rel_D],$D$61)</f>
        <v>169</v>
      </c>
      <c r="AC53" s="93">
        <f t="shared" si="7"/>
        <v>0.79342723004694837</v>
      </c>
      <c r="AD53" s="260">
        <v>0.9494949494949495</v>
      </c>
      <c r="AE53" s="94">
        <f>SUMIFS(Table2[10 Asthma Action Plan recorded 12m],Table2[OrgID],$D53,Table2[Rel_D],$D$61)</f>
        <v>162</v>
      </c>
      <c r="AF53" s="93">
        <f t="shared" si="8"/>
        <v>0.95857988165680474</v>
      </c>
      <c r="AG53" s="260">
        <v>0.98404255319148937</v>
      </c>
      <c r="AH53" s="69">
        <f>SUMIFS(Table2[11 ACT recorded],Table2[OrgID],$D53,Table2[Rel_D],$D$61)</f>
        <v>160</v>
      </c>
      <c r="AI53" s="293">
        <f t="shared" si="2"/>
        <v>0.94674556213017746</v>
      </c>
      <c r="AJ53" s="300">
        <v>0.85106382978723405</v>
      </c>
      <c r="AK53" s="105">
        <f>SUMIFS(Table2[D. Patients on the hypertension register],Table2[OrgID],$D53,Table2[Rel_D],$D$61)</f>
        <v>463</v>
      </c>
      <c r="AL53" s="83">
        <f>SUMIFS(Table2[15 On target],Table2[OrgID],$D53,Table2[Rel_D],$D$61)</f>
        <v>290</v>
      </c>
      <c r="AM53" s="84">
        <f t="shared" si="9"/>
        <v>0.62634989200863933</v>
      </c>
      <c r="AN53" s="334">
        <v>0.61373390557939911</v>
      </c>
      <c r="AO53" s="83">
        <f>SUMIFS(Table2[Off target],Table2[OrgID],$D53,Table2[Rel_D],$D$61)</f>
        <v>173</v>
      </c>
      <c r="AP53" s="83">
        <f>SUMIFS(Table2[12 Off target, with clinical review (2)],Table2[OrgID],$D53,Table2[Rel_D],$D$61)</f>
        <v>36</v>
      </c>
      <c r="AQ53" s="84">
        <f t="shared" si="10"/>
        <v>0.20809248554913296</v>
      </c>
      <c r="AR53" s="340">
        <v>0.12777777777777777</v>
      </c>
      <c r="AS53" s="322">
        <f>SUMIFS(Table2[E. Patients on the CHD or Stroke/TIA or PAD register],Table2[OrgID],$D53,Table2[Rel_D],$D$61)</f>
        <v>85</v>
      </c>
      <c r="AT53" s="100">
        <f>SUMIFS(Table2[13 Secondary prevention statins prescribed or offered in last 12m],Table2[OrgID],$D53,Table2[Rel_D],$D$61)</f>
        <v>49</v>
      </c>
      <c r="AU53" s="84">
        <f t="shared" si="11"/>
        <v>0.57647058823529407</v>
      </c>
      <c r="AV53" s="351">
        <v>0.53658536585365857</v>
      </c>
      <c r="AW53" s="433">
        <f>SUMIFS(Table2[F. Patients on anticoagulants or antiplatelets 6m],Table2[OrgID],Details!D53,Table2[Rel_D],Details!$D$61)</f>
        <v>136</v>
      </c>
      <c r="AX53" s="434" t="e">
        <f>SUMIFS(#REF!,#REF!,Details!#REF!,#REF!,Details!$D$61)</f>
        <v>#REF!</v>
      </c>
      <c r="AY53" s="2">
        <f>SUMIFS(Table2[Not on PPI 6m],Table2[OrgID],$D53,Table2[Rel_D],$D$61)</f>
        <v>71</v>
      </c>
      <c r="AZ53" s="69">
        <f>SUMIFS(Table2[14 Not on PPI, reviewed],Table2[OrgID],$D53,Table2[Rel_D],$D$61)</f>
        <v>17</v>
      </c>
      <c r="BA53" s="84">
        <f t="shared" si="3"/>
        <v>0.23943661971830985</v>
      </c>
      <c r="BB53" s="356">
        <v>0.1</v>
      </c>
    </row>
    <row r="54" spans="3:55" ht="15.75" thickBot="1">
      <c r="C54" s="75" t="s">
        <v>184</v>
      </c>
      <c r="D54" s="76" t="s">
        <v>102</v>
      </c>
      <c r="E54" s="455">
        <f>SUMIFS(Table2[All currently registered regular patients aged 18+],Table2[OrgID],D54,Table2[Rel_D],Details!$D$61)</f>
        <v>12833</v>
      </c>
      <c r="F54" s="435" t="e">
        <f>SUMIFS(#REF!,#REF!,C54,#REF!,Details!$D$61)</f>
        <v>#REF!</v>
      </c>
      <c r="G54" s="117">
        <f>SUMIFS(Table2[A. Patients on the diabetes register],Table2[OrgID],D54,Table2[Rel_D],Details!$D$61)</f>
        <v>774</v>
      </c>
      <c r="H54" s="118">
        <f>SUMIFS(Table2[Type 2 diabetics],Table2[OrgID],D54,Table2[Rel_D],Details!$D$61)</f>
        <v>717</v>
      </c>
      <c r="I54" s="118">
        <f>SUMIFS(Table2[1 Diabetes review recorded or proxy 12m],Table2[OrgID],$D54,Table2[Rel_D],$D$61)</f>
        <v>537</v>
      </c>
      <c r="J54" s="236">
        <f t="shared" si="0"/>
        <v>0.7489539748953975</v>
      </c>
      <c r="K54" s="242">
        <v>0.3888888888888889</v>
      </c>
      <c r="L54" s="230">
        <f>SUMIFS(Table2[Eligible for triple target],Table2[OrgID],$D54,Table2[Rel_D],$D$61)</f>
        <v>573</v>
      </c>
      <c r="M54" s="118">
        <f>SUMIFS(Table2[3 Triple target achieved],Table2[OrgID],$D54,Table2[Rel_D],$D$61)</f>
        <v>91</v>
      </c>
      <c r="N54" s="236">
        <f t="shared" si="4"/>
        <v>0.15881326352530542</v>
      </c>
      <c r="O54" s="287">
        <v>0.10070671378091872</v>
      </c>
      <c r="P54" s="117">
        <f>SUMIFS(Table2[B. Patients on the COPD register],Table2[OrgID],$D54,Table2[Rel_D],$D$61)</f>
        <v>107</v>
      </c>
      <c r="Q54" s="230">
        <f>SUMIFS(Table2[4 COPD review coded or proxy (MRC) 12m],Table2[OrgID],$D54,Table2[Rel_D],$D$61)</f>
        <v>83</v>
      </c>
      <c r="R54" s="124">
        <f t="shared" si="5"/>
        <v>0.77570093457943923</v>
      </c>
      <c r="S54" s="242">
        <v>3.8834951456310676E-2</v>
      </c>
      <c r="T54" s="118">
        <f>SUMIFS(Table2[6 CAT Score &amp; MRC scale recorded],Table2[OrgID],$D54,Table2[Rel_D],$D$61)</f>
        <v>77</v>
      </c>
      <c r="U54" s="124">
        <f t="shared" si="6"/>
        <v>0.92771084337349397</v>
      </c>
      <c r="V54" s="242">
        <v>0.25</v>
      </c>
      <c r="W54" s="118">
        <f>SUMIFS(Table2[7 COPD action plan recorded 12m],Table2[OrgID],$D54,Table2[Rel_D],$D$61)</f>
        <v>68</v>
      </c>
      <c r="X54" s="236">
        <f t="shared" si="1"/>
        <v>0.81927710843373491</v>
      </c>
      <c r="Y54" s="250">
        <v>0</v>
      </c>
      <c r="Z54" s="435">
        <f>SUMIFS(Table2[C. Patients on the asthma register],Table2[OrgID],$D54,Table2[Rel_D],$D$61)</f>
        <v>565</v>
      </c>
      <c r="AA54" s="436" t="e">
        <f>SUMIFS(#REF!,#REF!,$D54,#REF!,$D$61)</f>
        <v>#REF!</v>
      </c>
      <c r="AB54" s="3">
        <f>SUMIFS(Table2[8 Asthma review coded or proxy (inhaler technique) 12m],Table2[OrgID],$D54,Table2[Rel_D],$D$61)</f>
        <v>268</v>
      </c>
      <c r="AC54" s="95">
        <f t="shared" si="7"/>
        <v>0.4743362831858407</v>
      </c>
      <c r="AD54" s="261">
        <v>0.70630630630630631</v>
      </c>
      <c r="AE54" s="96">
        <f>SUMIFS(Table2[10 Asthma Action Plan recorded 12m],Table2[OrgID],$D54,Table2[Rel_D],$D$61)</f>
        <v>255</v>
      </c>
      <c r="AF54" s="95">
        <f t="shared" si="8"/>
        <v>0.95149253731343286</v>
      </c>
      <c r="AG54" s="261">
        <v>0.46683673469387754</v>
      </c>
      <c r="AH54" s="70">
        <f>SUMIFS(Table2[11 ACT recorded],Table2[OrgID],$D54,Table2[Rel_D],$D$61)</f>
        <v>257</v>
      </c>
      <c r="AI54" s="295">
        <f t="shared" si="2"/>
        <v>0.95895522388059706</v>
      </c>
      <c r="AJ54" s="301">
        <v>7.9081632653061229E-2</v>
      </c>
      <c r="AK54" s="106">
        <f>SUMIFS(Table2[D. Patients on the hypertension register],Table2[OrgID],$D54,Table2[Rel_D],$D$61)</f>
        <v>1473</v>
      </c>
      <c r="AL54" s="85">
        <f>SUMIFS(Table2[15 On target],Table2[OrgID],$D54,Table2[Rel_D],$D$61)</f>
        <v>918</v>
      </c>
      <c r="AM54" s="86">
        <f t="shared" si="9"/>
        <v>0.62321792260692466</v>
      </c>
      <c r="AN54" s="335">
        <v>0.40207612456747405</v>
      </c>
      <c r="AO54" s="85">
        <f>SUMIFS(Table2[Off target],Table2[OrgID],$D54,Table2[Rel_D],$D$61)</f>
        <v>555</v>
      </c>
      <c r="AP54" s="85">
        <f>SUMIFS(Table2[12 Off target, with clinical review (2)],Table2[OrgID],$D54,Table2[Rel_D],$D$61)</f>
        <v>197</v>
      </c>
      <c r="AQ54" s="86">
        <f t="shared" si="10"/>
        <v>0.35495495495495494</v>
      </c>
      <c r="AR54" s="341">
        <v>0.1111111111111111</v>
      </c>
      <c r="AS54" s="326">
        <f>SUMIFS(Table2[E. Patients on the CHD or Stroke/TIA or PAD register],Table2[OrgID],$D54,Table2[Rel_D],$D$61)</f>
        <v>320</v>
      </c>
      <c r="AT54" s="101">
        <f>SUMIFS(Table2[13 Secondary prevention statins prescribed or offered in last 12m],Table2[OrgID],$D54,Table2[Rel_D],$D$61)</f>
        <v>176</v>
      </c>
      <c r="AU54" s="86">
        <f t="shared" si="11"/>
        <v>0.55000000000000004</v>
      </c>
      <c r="AV54" s="350">
        <v>0.54711246200607899</v>
      </c>
      <c r="AW54" s="435">
        <f>SUMIFS(Table2[F. Patients on anticoagulants or antiplatelets 6m],Table2[OrgID],Details!D54,Table2[Rel_D],Details!$D$61)</f>
        <v>502</v>
      </c>
      <c r="AX54" s="436" t="e">
        <f>SUMIFS(#REF!,#REF!,Details!#REF!,#REF!,Details!$D$61)</f>
        <v>#REF!</v>
      </c>
      <c r="AY54" s="3">
        <f>SUMIFS(Table2[Not on PPI 6m],Table2[OrgID],$D54,Table2[Rel_D],$D$61)</f>
        <v>253</v>
      </c>
      <c r="AZ54" s="70">
        <f>SUMIFS(Table2[14 Not on PPI, reviewed],Table2[OrgID],$D54,Table2[Rel_D],$D$61)</f>
        <v>22</v>
      </c>
      <c r="BA54" s="86">
        <f t="shared" si="3"/>
        <v>8.6956521739130432E-2</v>
      </c>
      <c r="BB54" s="357">
        <v>7.2580645161290328E-2</v>
      </c>
    </row>
    <row r="55" spans="3:55" ht="18" customHeight="1" thickBot="1">
      <c r="C55" s="17" t="s">
        <v>185</v>
      </c>
      <c r="D55" s="18" t="s">
        <v>103</v>
      </c>
      <c r="E55" s="447">
        <f t="shared" ref="E55:F55" si="36">SUM(E50:E54)</f>
        <v>34919</v>
      </c>
      <c r="F55" s="448" t="e">
        <f t="shared" si="36"/>
        <v>#REF!</v>
      </c>
      <c r="G55" s="119">
        <f>SUM(G50:G54)</f>
        <v>2468</v>
      </c>
      <c r="H55" s="120">
        <f t="shared" ref="H55:W55" si="37">SUM(H50:H54)</f>
        <v>2326</v>
      </c>
      <c r="I55" s="120">
        <f t="shared" si="37"/>
        <v>1732</v>
      </c>
      <c r="J55" s="235">
        <f t="shared" si="0"/>
        <v>0.74462596732588138</v>
      </c>
      <c r="K55" s="235">
        <v>0.57155399473222124</v>
      </c>
      <c r="L55" s="239">
        <f t="shared" si="37"/>
        <v>1817</v>
      </c>
      <c r="M55" s="120">
        <f t="shared" si="37"/>
        <v>343</v>
      </c>
      <c r="N55" s="235">
        <f t="shared" si="4"/>
        <v>0.1887727022564667</v>
      </c>
      <c r="O55" s="235">
        <v>0.18338108882521489</v>
      </c>
      <c r="P55" s="364">
        <f t="shared" si="37"/>
        <v>293</v>
      </c>
      <c r="Q55" s="217">
        <f t="shared" si="37"/>
        <v>200</v>
      </c>
      <c r="R55" s="128">
        <f t="shared" si="5"/>
        <v>0.68259385665529015</v>
      </c>
      <c r="S55" s="128">
        <v>0.36426116838487971</v>
      </c>
      <c r="T55" s="127">
        <f t="shared" si="37"/>
        <v>177</v>
      </c>
      <c r="U55" s="128">
        <f t="shared" si="6"/>
        <v>0.88500000000000001</v>
      </c>
      <c r="V55" s="251">
        <v>0.50943396226415094</v>
      </c>
      <c r="W55" s="127">
        <f t="shared" si="37"/>
        <v>144</v>
      </c>
      <c r="X55" s="243">
        <f t="shared" si="1"/>
        <v>0.72</v>
      </c>
      <c r="Y55" s="254">
        <v>0.57547169811320753</v>
      </c>
      <c r="Z55" s="451">
        <f t="shared" ref="Z55:AA55" si="38">SUM(Z50:Z54)</f>
        <v>1650</v>
      </c>
      <c r="AA55" s="452" t="e">
        <f t="shared" si="38"/>
        <v>#REF!</v>
      </c>
      <c r="AB55" s="160">
        <f>SUM(AB50:AB54)</f>
        <v>995</v>
      </c>
      <c r="AC55" s="161">
        <f t="shared" si="7"/>
        <v>0.60303030303030303</v>
      </c>
      <c r="AD55" s="161">
        <v>0.67545511613308229</v>
      </c>
      <c r="AE55" s="162">
        <f>SUM(AE50:AE54)</f>
        <v>950</v>
      </c>
      <c r="AF55" s="161">
        <f t="shared" si="8"/>
        <v>0.95477386934673369</v>
      </c>
      <c r="AG55" s="161">
        <v>0.67565055762081783</v>
      </c>
      <c r="AH55" s="160">
        <f>SUM(AH50:AH54)</f>
        <v>951</v>
      </c>
      <c r="AI55" s="297">
        <f t="shared" si="2"/>
        <v>0.95577889447236186</v>
      </c>
      <c r="AJ55" s="303">
        <v>0.50743494423791824</v>
      </c>
      <c r="AK55" s="140">
        <f>SUM(AK50:AK54)</f>
        <v>4329</v>
      </c>
      <c r="AL55" s="141">
        <f>SUM(AL50:AL54)</f>
        <v>2439</v>
      </c>
      <c r="AM55" s="142">
        <f t="shared" si="9"/>
        <v>0.56340956340956339</v>
      </c>
      <c r="AN55" s="142">
        <v>0.42759595008241114</v>
      </c>
      <c r="AO55" s="141">
        <f>SUM(AO50:AO54)</f>
        <v>1890</v>
      </c>
      <c r="AP55" s="141">
        <f>SUM(AP50:AP54)</f>
        <v>610</v>
      </c>
      <c r="AQ55" s="142">
        <f t="shared" si="10"/>
        <v>0.32275132275132273</v>
      </c>
      <c r="AR55" s="307">
        <v>0.13944878650761003</v>
      </c>
      <c r="AS55" s="329">
        <f>SUM(AS50:AS54)</f>
        <v>968</v>
      </c>
      <c r="AT55" s="263">
        <f>SUM(AT50:AT54)</f>
        <v>578</v>
      </c>
      <c r="AU55" s="310">
        <f t="shared" si="11"/>
        <v>0.59710743801652888</v>
      </c>
      <c r="AV55" s="313">
        <v>0.55623100303951367</v>
      </c>
      <c r="AW55" s="437">
        <f t="shared" ref="AW55:AX55" si="39">SUM(AW50:AW54)</f>
        <v>1535</v>
      </c>
      <c r="AX55" s="438" t="e">
        <f t="shared" si="39"/>
        <v>#REF!</v>
      </c>
      <c r="AY55" s="157">
        <f>SUM(AY50:AY54)</f>
        <v>754</v>
      </c>
      <c r="AZ55" s="158">
        <f>SUM(AZ50:AZ54)</f>
        <v>122</v>
      </c>
      <c r="BA55" s="317">
        <f t="shared" si="3"/>
        <v>0.16180371352785147</v>
      </c>
      <c r="BB55" s="353">
        <v>9.8143236074270557E-2</v>
      </c>
    </row>
    <row r="56" spans="3:55" s="156" customFormat="1" ht="21.95" customHeight="1" thickBot="1">
      <c r="C56" s="146" t="s">
        <v>186</v>
      </c>
      <c r="D56" s="147" t="s">
        <v>37</v>
      </c>
      <c r="E56" s="457">
        <f>SUM(E55,E49,E43,E36,E28,E24,E18)</f>
        <v>253124</v>
      </c>
      <c r="F56" s="458"/>
      <c r="G56" s="148">
        <f>SUM(G55,G49,G43,G36,G28,G24,G18)</f>
        <v>18171</v>
      </c>
      <c r="H56" s="149">
        <f t="shared" ref="H56:W56" si="40">SUM(H55,H49,H43,H36,H28,H24,H18)</f>
        <v>17112</v>
      </c>
      <c r="I56" s="149">
        <f t="shared" si="40"/>
        <v>11903</v>
      </c>
      <c r="J56" s="150">
        <f t="shared" si="0"/>
        <v>0.69559373539036928</v>
      </c>
      <c r="K56" s="150">
        <v>0.552031126351886</v>
      </c>
      <c r="L56" s="149">
        <f t="shared" si="40"/>
        <v>10491</v>
      </c>
      <c r="M56" s="149">
        <f t="shared" si="40"/>
        <v>1506</v>
      </c>
      <c r="N56" s="150">
        <f t="shared" si="4"/>
        <v>0.14355161567057478</v>
      </c>
      <c r="O56" s="150">
        <v>0.11682124575541027</v>
      </c>
      <c r="P56" s="365">
        <f t="shared" si="40"/>
        <v>2732</v>
      </c>
      <c r="Q56" s="218">
        <f t="shared" si="40"/>
        <v>2092</v>
      </c>
      <c r="R56" s="152">
        <f t="shared" si="5"/>
        <v>0.76573938506588579</v>
      </c>
      <c r="S56" s="152">
        <v>0.65123577873675953</v>
      </c>
      <c r="T56" s="151">
        <f t="shared" si="40"/>
        <v>1479</v>
      </c>
      <c r="U56" s="152">
        <f t="shared" si="6"/>
        <v>0.70697896749521993</v>
      </c>
      <c r="V56" s="128">
        <v>0.55693410532120213</v>
      </c>
      <c r="W56" s="151">
        <f t="shared" si="40"/>
        <v>1181</v>
      </c>
      <c r="X56" s="244">
        <f t="shared" si="1"/>
        <v>0.56453154875717015</v>
      </c>
      <c r="Y56" s="255">
        <v>0.55500413564929696</v>
      </c>
      <c r="Z56" s="453">
        <f>SUM(Z55,Z49,Z43,Z36,Z28,Z24,Z18)</f>
        <v>13275</v>
      </c>
      <c r="AA56" s="454"/>
      <c r="AB56" s="163">
        <f>SUM(AB55,AB49,AB43,AB36,AB28,AB24,AB18)</f>
        <v>9193</v>
      </c>
      <c r="AC56" s="164">
        <f t="shared" si="7"/>
        <v>0.69250470809792841</v>
      </c>
      <c r="AD56" s="164">
        <v>0.64903132816143116</v>
      </c>
      <c r="AE56" s="165">
        <f>SUM(AE55,AE49,AE43,AE36,AE28,AE24,AE18)</f>
        <v>8804</v>
      </c>
      <c r="AF56" s="164">
        <f t="shared" si="8"/>
        <v>0.95768519525726092</v>
      </c>
      <c r="AG56" s="164">
        <v>0.87707380796864798</v>
      </c>
      <c r="AH56" s="163">
        <f>SUM(AH55,AH49,AH43,AH36,AH28,AH24,AH18)</f>
        <v>8825</v>
      </c>
      <c r="AI56" s="298">
        <f t="shared" si="2"/>
        <v>0.95996954204285867</v>
      </c>
      <c r="AJ56" s="304">
        <v>0.72292619203135211</v>
      </c>
      <c r="AK56" s="153">
        <f>SUM(AK55,AK49,AK43,AK36,AK28,AK24,AK18)</f>
        <v>34654</v>
      </c>
      <c r="AL56" s="154">
        <f>SUM(AL55,AL49,AL43,AL36,AL28,AL24,AL18)</f>
        <v>17479</v>
      </c>
      <c r="AM56" s="155">
        <f t="shared" si="9"/>
        <v>0.50438621804120731</v>
      </c>
      <c r="AN56" s="155">
        <v>0.39558666091430578</v>
      </c>
      <c r="AO56" s="154">
        <f>SUM(AO55,AO49,AO43,AO36,AO28,AO24,AO18)</f>
        <v>17175</v>
      </c>
      <c r="AP56" s="154">
        <f>SUM(AP55,AP49,AP43,AP36,AP28,AP24,AP18)</f>
        <v>6528</v>
      </c>
      <c r="AQ56" s="155">
        <f t="shared" si="10"/>
        <v>0.3800873362445415</v>
      </c>
      <c r="AR56" s="308">
        <v>0.19814413366467509</v>
      </c>
      <c r="AS56" s="330">
        <f>SUM(AS55,AS49,AS43,AS36,AS28,AS24,AS18)</f>
        <v>8953</v>
      </c>
      <c r="AT56" s="264">
        <f>SUM(AT55,AT49,AT43,AT36,AT28,AT24,AT18)</f>
        <v>4407</v>
      </c>
      <c r="AU56" s="311">
        <f t="shared" si="11"/>
        <v>0.49223723891433041</v>
      </c>
      <c r="AV56" s="314">
        <v>0.4670594872437786</v>
      </c>
      <c r="AW56" s="439">
        <f t="shared" ref="AW56:AX56" si="41">SUM(AW55,AW49,AW43,AW36,AW28,AW24,AW18)</f>
        <v>13102</v>
      </c>
      <c r="AX56" s="440" t="e">
        <f t="shared" si="41"/>
        <v>#REF!</v>
      </c>
      <c r="AY56" s="159">
        <f>SUM(AY55,AY49,AY43,AY36,AY28,AY24,AY18)</f>
        <v>6146</v>
      </c>
      <c r="AZ56" s="159">
        <f>SUM(AZ55,AZ49,AZ43,AZ36,AZ28,AZ24,AZ18)</f>
        <v>621</v>
      </c>
      <c r="BA56" s="318">
        <f t="shared" si="3"/>
        <v>0.10104132769280832</v>
      </c>
      <c r="BB56" s="354">
        <v>0.21340434975588105</v>
      </c>
      <c r="BC56" s="63"/>
    </row>
    <row r="57" spans="3:55">
      <c r="C57" s="22"/>
      <c r="D57" s="23"/>
      <c r="E57" s="23"/>
      <c r="F57" s="23"/>
      <c r="G57" s="23"/>
      <c r="H57" s="23"/>
      <c r="I57" s="23"/>
      <c r="J57" s="23"/>
      <c r="K57" s="23"/>
      <c r="L57" s="23"/>
      <c r="M57" s="23"/>
      <c r="N57" s="23"/>
      <c r="O57" s="23"/>
      <c r="P57" s="23"/>
      <c r="Q57" s="23"/>
      <c r="R57" s="23"/>
      <c r="S57" s="23"/>
      <c r="T57" s="23"/>
      <c r="U57" s="23"/>
      <c r="V57" s="23"/>
      <c r="W57" s="23"/>
      <c r="X57" s="23"/>
      <c r="Y57" s="23"/>
      <c r="Z57" s="23"/>
      <c r="AA57" s="23"/>
      <c r="AB57" s="23"/>
      <c r="AC57" s="23"/>
      <c r="AD57" s="23"/>
      <c r="AE57" s="23"/>
      <c r="AF57" s="23"/>
      <c r="AG57" s="23"/>
      <c r="AH57" s="23"/>
      <c r="AI57" s="23"/>
      <c r="AJ57" s="23"/>
      <c r="AK57" s="23"/>
      <c r="AL57" s="23"/>
      <c r="AM57" s="23"/>
      <c r="AN57" s="23"/>
      <c r="AO57" s="23"/>
      <c r="AP57" s="23"/>
      <c r="AQ57" s="23"/>
      <c r="AR57" s="23"/>
      <c r="AS57" s="23"/>
      <c r="AT57" s="23"/>
      <c r="AU57" s="23"/>
      <c r="AV57" s="23"/>
      <c r="AW57" s="23"/>
      <c r="AX57" s="23"/>
      <c r="AY57" s="23"/>
      <c r="AZ57" s="23"/>
      <c r="BA57" s="24"/>
    </row>
    <row r="58" spans="3:55">
      <c r="C58" s="25"/>
      <c r="D58" s="26"/>
      <c r="E58" s="26"/>
      <c r="F58" s="26"/>
      <c r="G58" s="26"/>
      <c r="H58" s="26"/>
      <c r="I58" s="26"/>
      <c r="J58" s="26"/>
      <c r="K58" s="26"/>
      <c r="L58" s="26"/>
      <c r="M58" s="26"/>
      <c r="N58" s="26"/>
      <c r="O58" s="26"/>
      <c r="P58" s="26"/>
      <c r="Q58" s="26"/>
      <c r="R58" s="26"/>
      <c r="S58" s="26"/>
      <c r="T58" s="26"/>
      <c r="U58" s="26"/>
      <c r="V58" s="26"/>
      <c r="W58" s="26"/>
      <c r="X58" s="26"/>
      <c r="Y58" s="26"/>
      <c r="Z58" s="26"/>
      <c r="AA58" s="26"/>
      <c r="AB58" s="26"/>
      <c r="AC58" s="26"/>
      <c r="AD58" s="26"/>
      <c r="AE58" s="26"/>
      <c r="AF58" s="26"/>
      <c r="AG58" s="26"/>
      <c r="AH58" s="26"/>
      <c r="AI58" s="26"/>
      <c r="AJ58" s="26"/>
      <c r="AK58" s="26"/>
      <c r="AL58" s="26"/>
      <c r="AM58" s="26"/>
      <c r="AN58" s="26"/>
      <c r="AO58" s="26"/>
      <c r="AP58" s="26"/>
      <c r="AQ58" s="26"/>
      <c r="AR58" s="26"/>
      <c r="AS58" s="26"/>
      <c r="AT58" s="26"/>
      <c r="AU58" s="26"/>
      <c r="AV58" s="26"/>
      <c r="AW58" s="26"/>
      <c r="AX58" s="26"/>
      <c r="AY58" s="26"/>
      <c r="AZ58" s="26"/>
      <c r="BA58" s="27"/>
    </row>
    <row r="59" spans="3:55">
      <c r="C59" s="28"/>
      <c r="D59" s="29"/>
      <c r="E59" s="29"/>
      <c r="F59" s="29"/>
      <c r="G59" s="29"/>
      <c r="H59" s="29"/>
      <c r="I59" s="29"/>
      <c r="J59" s="29"/>
      <c r="K59" s="29"/>
      <c r="L59" s="29"/>
      <c r="M59" s="29"/>
      <c r="N59" s="29"/>
      <c r="O59" s="29"/>
      <c r="P59" s="29"/>
      <c r="Q59" s="29"/>
      <c r="R59" s="29"/>
      <c r="S59" s="29"/>
      <c r="T59" s="29"/>
      <c r="U59" s="29"/>
      <c r="V59" s="29"/>
      <c r="W59" s="29"/>
      <c r="X59" s="29"/>
      <c r="Y59" s="29"/>
      <c r="Z59" s="29"/>
      <c r="AA59" s="29"/>
      <c r="AB59" s="29"/>
      <c r="AC59" s="29"/>
      <c r="AD59" s="29"/>
      <c r="AE59" s="29"/>
      <c r="AF59" s="29"/>
      <c r="AG59" s="29"/>
      <c r="AH59" s="29"/>
      <c r="AI59" s="29"/>
      <c r="AJ59" s="29"/>
      <c r="AK59" s="29"/>
      <c r="AL59" s="29"/>
      <c r="AM59" s="29"/>
      <c r="AN59" s="29"/>
      <c r="AO59" s="29"/>
      <c r="AP59" s="29"/>
      <c r="AQ59" s="29"/>
      <c r="AR59" s="29"/>
      <c r="AS59" s="29"/>
      <c r="AT59" s="29"/>
      <c r="AU59" s="29"/>
      <c r="AV59" s="29"/>
      <c r="AW59" s="29"/>
      <c r="AX59" s="29"/>
      <c r="AY59" s="30"/>
      <c r="AZ59" s="19"/>
      <c r="BA59" s="19"/>
    </row>
    <row r="60" spans="3:55">
      <c r="C60" s="28"/>
      <c r="D60" s="29"/>
      <c r="E60" s="29"/>
      <c r="F60" s="29"/>
      <c r="G60" s="29"/>
      <c r="H60" s="29"/>
      <c r="I60" s="29"/>
      <c r="J60" s="29"/>
      <c r="K60" s="29"/>
      <c r="L60" s="29"/>
      <c r="M60" s="29"/>
      <c r="N60" s="29"/>
      <c r="O60" s="29"/>
      <c r="P60" s="29"/>
      <c r="Q60" s="29"/>
      <c r="R60" s="29"/>
      <c r="S60" s="29"/>
      <c r="T60" s="29"/>
      <c r="U60" s="29"/>
      <c r="V60" s="29"/>
      <c r="W60" s="29"/>
      <c r="X60" s="29"/>
      <c r="Y60" s="29"/>
      <c r="Z60" s="29"/>
      <c r="AA60" s="29"/>
      <c r="AB60" s="29"/>
      <c r="AC60" s="29"/>
      <c r="AD60" s="29"/>
      <c r="AE60" s="29"/>
      <c r="AF60" s="29"/>
      <c r="AG60" s="29"/>
      <c r="AH60" s="29"/>
      <c r="AI60" s="29"/>
      <c r="AJ60" s="29"/>
      <c r="AK60" s="29"/>
      <c r="AL60" s="29"/>
      <c r="AM60" s="29"/>
      <c r="AN60" s="29"/>
      <c r="AO60" s="29"/>
      <c r="AP60" s="29"/>
      <c r="AQ60" s="29"/>
      <c r="AR60" s="29"/>
      <c r="AS60" s="29"/>
      <c r="AT60" s="29"/>
      <c r="AU60" s="29"/>
      <c r="AV60" s="29"/>
      <c r="AW60" s="29"/>
      <c r="AX60" s="29"/>
      <c r="AY60" s="30"/>
      <c r="AZ60" s="201"/>
      <c r="BA60" s="19"/>
    </row>
    <row r="61" spans="3:55" ht="15.75">
      <c r="C61" s="166" t="s">
        <v>187</v>
      </c>
      <c r="D61" s="167" t="str">
        <f>Control!F2</f>
        <v>01/04/2022</v>
      </c>
      <c r="E61" s="198"/>
      <c r="F61" s="26"/>
      <c r="G61" s="26"/>
      <c r="H61" s="387" t="s">
        <v>188</v>
      </c>
      <c r="I61" s="26"/>
      <c r="J61" s="26"/>
      <c r="K61" s="26"/>
      <c r="L61" s="26"/>
      <c r="M61" s="26"/>
      <c r="N61" s="26"/>
      <c r="O61" s="26"/>
      <c r="P61" s="26"/>
      <c r="Q61" s="26"/>
      <c r="R61" s="26"/>
      <c r="S61" s="26"/>
      <c r="T61" s="26"/>
      <c r="U61" s="26"/>
      <c r="V61" s="26"/>
      <c r="W61" s="26"/>
      <c r="X61" s="26"/>
      <c r="Y61" s="26"/>
      <c r="Z61" s="26"/>
      <c r="AA61" s="26"/>
      <c r="AB61" s="26"/>
      <c r="AC61" s="26"/>
      <c r="AD61" s="26"/>
      <c r="AE61" s="26"/>
      <c r="AF61" s="26"/>
      <c r="AG61" s="26"/>
      <c r="AH61" s="26"/>
      <c r="AI61" s="26"/>
      <c r="AJ61" s="26"/>
      <c r="AK61" s="26"/>
      <c r="AL61" s="26"/>
      <c r="AM61" s="26"/>
      <c r="AN61" s="26"/>
      <c r="AO61" s="26"/>
      <c r="AP61" s="26"/>
      <c r="AQ61" s="26"/>
      <c r="AR61" s="26"/>
      <c r="AS61" s="26"/>
      <c r="AT61" s="26"/>
      <c r="AU61" s="26"/>
      <c r="AV61" s="26"/>
      <c r="AW61" s="26"/>
      <c r="AX61" s="26"/>
      <c r="AY61" s="26"/>
      <c r="AZ61" s="202"/>
      <c r="BA61" s="168"/>
    </row>
    <row r="62" spans="3:55">
      <c r="AZ62" s="200"/>
      <c r="BC62" s="368"/>
    </row>
    <row r="63" spans="3:55">
      <c r="AZ63" s="200"/>
      <c r="BC63" s="368"/>
    </row>
    <row r="64" spans="3:55">
      <c r="AZ64" s="200"/>
      <c r="BC64" s="368"/>
    </row>
    <row r="65" spans="55:55">
      <c r="BC65" s="368"/>
    </row>
    <row r="66" spans="55:55">
      <c r="BC66" s="368"/>
    </row>
    <row r="67" spans="55:55">
      <c r="BC67" s="368"/>
    </row>
  </sheetData>
  <mergeCells count="164">
    <mergeCell ref="G6:BA6"/>
    <mergeCell ref="E12:F12"/>
    <mergeCell ref="E13:F13"/>
    <mergeCell ref="E14:F14"/>
    <mergeCell ref="E15:F15"/>
    <mergeCell ref="E16:F16"/>
    <mergeCell ref="E9:F9"/>
    <mergeCell ref="E10:F10"/>
    <mergeCell ref="Z9:AA9"/>
    <mergeCell ref="AB9:AC9"/>
    <mergeCell ref="AH9:AI9"/>
    <mergeCell ref="AW9:AX9"/>
    <mergeCell ref="AZ9:BA9"/>
    <mergeCell ref="I9:J9"/>
    <mergeCell ref="M9:N9"/>
    <mergeCell ref="G7:N7"/>
    <mergeCell ref="Q9:R9"/>
    <mergeCell ref="W9:X9"/>
    <mergeCell ref="P7:X7"/>
    <mergeCell ref="AE9:AF9"/>
    <mergeCell ref="T9:U9"/>
    <mergeCell ref="Q8:X8"/>
    <mergeCell ref="AB8:AI8"/>
    <mergeCell ref="Z7:AI7"/>
    <mergeCell ref="AT9:AU9"/>
    <mergeCell ref="AW7:BA7"/>
    <mergeCell ref="E23:F23"/>
    <mergeCell ref="Z22:AA22"/>
    <mergeCell ref="Z23:AA23"/>
    <mergeCell ref="AW21:AX21"/>
    <mergeCell ref="AW22:AX22"/>
    <mergeCell ref="AW23:AX23"/>
    <mergeCell ref="E11:F11"/>
    <mergeCell ref="Z20:AA20"/>
    <mergeCell ref="Z21:AA21"/>
    <mergeCell ref="AW10:AX10"/>
    <mergeCell ref="AW11:AX11"/>
    <mergeCell ref="AW12:AX12"/>
    <mergeCell ref="AW13:AX13"/>
    <mergeCell ref="AW14:AX14"/>
    <mergeCell ref="E17:F17"/>
    <mergeCell ref="E18:F18"/>
    <mergeCell ref="E19:F19"/>
    <mergeCell ref="E20:F20"/>
    <mergeCell ref="E21:F21"/>
    <mergeCell ref="E22:F22"/>
    <mergeCell ref="AL9:AM9"/>
    <mergeCell ref="AP9:AQ9"/>
    <mergeCell ref="AK7:AQ7"/>
    <mergeCell ref="E29:F29"/>
    <mergeCell ref="E30:F30"/>
    <mergeCell ref="E31:F31"/>
    <mergeCell ref="E32:F32"/>
    <mergeCell ref="E33:F33"/>
    <mergeCell ref="E34:F34"/>
    <mergeCell ref="E24:F24"/>
    <mergeCell ref="E25:F25"/>
    <mergeCell ref="E26:F26"/>
    <mergeCell ref="E27:F27"/>
    <mergeCell ref="E28:F28"/>
    <mergeCell ref="Z10:AA10"/>
    <mergeCell ref="Z11:AA11"/>
    <mergeCell ref="Z12:AA12"/>
    <mergeCell ref="Z13:AA13"/>
    <mergeCell ref="Z14:AA14"/>
    <mergeCell ref="Z15:AA15"/>
    <mergeCell ref="E46:F46"/>
    <mergeCell ref="Z55:AA55"/>
    <mergeCell ref="Z56:AA56"/>
    <mergeCell ref="E35:F35"/>
    <mergeCell ref="E36:F36"/>
    <mergeCell ref="E37:F37"/>
    <mergeCell ref="E38:F38"/>
    <mergeCell ref="E39:F39"/>
    <mergeCell ref="E40:F40"/>
    <mergeCell ref="Z43:AA43"/>
    <mergeCell ref="Z44:AA44"/>
    <mergeCell ref="Z45:AA45"/>
    <mergeCell ref="E53:F53"/>
    <mergeCell ref="E54:F54"/>
    <mergeCell ref="E55:F55"/>
    <mergeCell ref="E56:F56"/>
    <mergeCell ref="E47:F47"/>
    <mergeCell ref="E48:F48"/>
    <mergeCell ref="E49:F49"/>
    <mergeCell ref="E50:F50"/>
    <mergeCell ref="E51:F51"/>
    <mergeCell ref="E52:F52"/>
    <mergeCell ref="E41:F41"/>
    <mergeCell ref="E42:F42"/>
    <mergeCell ref="E43:F43"/>
    <mergeCell ref="E44:F44"/>
    <mergeCell ref="E45:F45"/>
    <mergeCell ref="Z27:AA27"/>
    <mergeCell ref="Z16:AA16"/>
    <mergeCell ref="Z17:AA17"/>
    <mergeCell ref="Z18:AA18"/>
    <mergeCell ref="Z19:AA19"/>
    <mergeCell ref="AW27:AX27"/>
    <mergeCell ref="AW28:AX28"/>
    <mergeCell ref="AW29:AX29"/>
    <mergeCell ref="AW30:AX30"/>
    <mergeCell ref="AW32:AX32"/>
    <mergeCell ref="AW39:AX39"/>
    <mergeCell ref="AW40:AX40"/>
    <mergeCell ref="AW41:AX41"/>
    <mergeCell ref="AW42:AX42"/>
    <mergeCell ref="AW43:AX43"/>
    <mergeCell ref="AW31:AX31"/>
    <mergeCell ref="AW44:AX44"/>
    <mergeCell ref="AW33:AX33"/>
    <mergeCell ref="AW34:AX34"/>
    <mergeCell ref="AW35:AX35"/>
    <mergeCell ref="AW36:AX36"/>
    <mergeCell ref="AW15:AX15"/>
    <mergeCell ref="AW16:AX16"/>
    <mergeCell ref="AW17:AX17"/>
    <mergeCell ref="AW18:AX18"/>
    <mergeCell ref="AW19:AX19"/>
    <mergeCell ref="AW20:AX20"/>
    <mergeCell ref="Z24:AA24"/>
    <mergeCell ref="Z25:AA25"/>
    <mergeCell ref="Z26:AA26"/>
    <mergeCell ref="AW24:AX24"/>
    <mergeCell ref="AW25:AX25"/>
    <mergeCell ref="AW26:AX26"/>
    <mergeCell ref="Z52:AA52"/>
    <mergeCell ref="Z53:AA53"/>
    <mergeCell ref="Z54:AA54"/>
    <mergeCell ref="Z39:AA39"/>
    <mergeCell ref="Z28:AA28"/>
    <mergeCell ref="Z29:AA29"/>
    <mergeCell ref="Z30:AA30"/>
    <mergeCell ref="Z31:AA31"/>
    <mergeCell ref="Z32:AA32"/>
    <mergeCell ref="Z33:AA33"/>
    <mergeCell ref="Z34:AA34"/>
    <mergeCell ref="Z35:AA35"/>
    <mergeCell ref="Z36:AA36"/>
    <mergeCell ref="Z37:AA37"/>
    <mergeCell ref="Z38:AA38"/>
    <mergeCell ref="Z46:AA46"/>
    <mergeCell ref="Z47:AA47"/>
    <mergeCell ref="Z48:AA48"/>
    <mergeCell ref="Z49:AA49"/>
    <mergeCell ref="Z50:AA50"/>
    <mergeCell ref="Z51:AA51"/>
    <mergeCell ref="Z40:AA40"/>
    <mergeCell ref="Z41:AA41"/>
    <mergeCell ref="Z42:AA42"/>
    <mergeCell ref="AW37:AX37"/>
    <mergeCell ref="AW38:AX38"/>
    <mergeCell ref="AW51:AX51"/>
    <mergeCell ref="AW52:AX52"/>
    <mergeCell ref="AW53:AX53"/>
    <mergeCell ref="AW54:AX54"/>
    <mergeCell ref="AW55:AX55"/>
    <mergeCell ref="AW56:AX56"/>
    <mergeCell ref="AW45:AX45"/>
    <mergeCell ref="AW46:AX46"/>
    <mergeCell ref="AW47:AX47"/>
    <mergeCell ref="AW48:AX48"/>
    <mergeCell ref="AW49:AX49"/>
    <mergeCell ref="AW50:AX50"/>
  </mergeCells>
  <pageMargins left="0.7" right="0.7" top="0.75" bottom="0.75" header="0.3" footer="0.3"/>
  <pageSetup paperSize="9" orientation="portrait" r:id="rId1"/>
  <ignoredErrors>
    <ignoredError sqref="BA12 AU12 AU13 AU14:AU16 AU17 BA13:BA16 BA17 AM17 AM13:AM16 AI17 AI13:AI16 AF17 AF13:AF16 X17 X13:X16 R17 R16 R15 R14 R13 J17 J13:J16 AQ17 AQ12 AQ13:AQ16 AM12 AI12 AF12 AC12 AC17 AC13:AC16 X12 R12 N17 N13:N16 E13:I16 P16:Q16 P17 T12:U12 Z12:AB12 AE13:AE16 AE17 AE12 AH12 AK12:AL12 AO12:AP12 AS13:AT16 AS12:AT12 AS17:AT17 L13:M16 L17:M17 P13:Q13 T13:U13 P14:Q14 T14:U14 P15:Q15 T15:U15 T16:U16 T17 Z13:AB13 Z14:AB14 Z15:AB15 Z16:AB16 Z17:AB17 AH13:AH16 AH17 AK13:AL16 AK17:AL17 AO13:AP16 AO17:AP17 AT24 AS50:AT54 AR57 AS44:AT48 AS37:AT42 AS29:AT34 AS25:AT26 AS20:AT23 AO35:AP35 AO27:AP27 AO19:AP19 AO50:AP54 AN57 AO44:AP48 AO37:AP42 AO29:AP34 AO25:AP26 AO20:AP23 AK35:AL35 AK27:AL27 AK19:AL19 AK50:AL54 AJ57 AK44:AL48 AK37:AL42 AK29:AL34 AK25:AL26 AK20:AL23 AH35 AH27 AH19 AH50:AH54 AG57 AH44:AH48 AH37:AH42 AH29:AH34 AH25:AH26 AH20:AH23 AE50:AE54 AE44:AE48 AE37:AE42 AE29:AE34 AE25:AE26 AE20:AE23 AD57 Y57 Z35:AB35 Z27:AB27 Z19:AB19 Z50:AB54 Z55:AA55 Z44:AB48 Z49:AA49 Z37:AB42 Z43:AA43 Z29:AB34 Z36:AA36 Z25:AB26 Z28:AA28 Z20:AB23 Z24:AA24 Z18:AA18 U57:V57 U49 U43 U36 U28 U24 U18 T35:U35 T27:U27 T19:U19 T50:U54 S57 T44:U48 T37:U42 T29:U34 T25:U26 T20:U23 P50:Q54 O57 P44:Q48 P37:Q42 P29:Q34 P25:Q26 P20:Q23 L35:M35 L27:M27 L19:M19 L50:M54 L44:M48 L37:M42 L29:M34 L25:M26 L20:M23 K57 E57:F57 E50:I54 E44:I48 AS35:AT35 AS27:AT27 AS19:AT19 AE19 AE27 AE35 P19 P27 P35 E25:I26 E20:I23 E29:I34 E37:I42 L36:N36 L28:N28 L18:N18 L24:N24 N27 N19 AB24:AC24 AC35 AC27 AC19 AB36:AC36 AB18:AC18 AB28:AC28 AO18:AQ18 AO24:AQ24 AQ19 AO28:AQ28 AQ27 AO36:AQ36 AQ35 G18:J18 G24:J24 G28:J28 G36:J36 G43:J43 G49:J49 G55:J57 J20:J23 J25:J26 J29:J34 J37:J42 J44:J48 J50:J54 J19 J27 J35 N20:N23 N25:N26 N29:N34 L43:N43 N37:N42 L49:N49 N44:N48 L55:N57 N50:N54 P18:R18 P24:R24 R20:R23 P28:R28 R25:R26 P36:R36 R29:R34 P43:R43 R37:R42 P49:R49 R44:R48 P55:R57 R50:R54 R19 R27 R35 T18 T24 T28 T36 T43 T49 T55:T57 W18:X18 W24:X24 X20:X23 W28:X28 X25:X26 W36:X36 X29:X34 W43:X43 X37:X42 W49:X49 X44:X48 W55:X57 X50:X54 X19 X27 X35 Z56:AA57 AC20:AC23 AC25:AC26 AC29:AC34 AB43:AC43 AC37:AC42 AB49:AC49 AC44:AC48 AB55:AC57 AC50:AC54 AE18:AF18 AE24:AF24 AF20:AF23 AE28:AF28 AF25:AF26 AE36:AF36 AF29:AF34 AE43:AF43 AF37:AF42 AE49:AF49 AF44:AF48 AE55:AF57 AF50:AF54 AF19 AF27 AF35 AH18:AI18 AH24:AI24 AI20:AI23 AH28:AI28 AI25:AI26 AH36:AI36 AI29:AI34 AH43:AI43 AI37:AI42 AH49:AI49 AI44:AI48 AH55:AI57 AI50:AI54 AI19 AI27 AI35 AK18:AM18 AK24:AM24 AM20:AM23 AK28:AM28 AM25:AM26 AK36:AM36 AM29:AM34 AK43:AM43 AM37:AM42 AK49:AM49 AM44:AM48 AK55:AM57 AM50:AM54 AM19 AM27 AM35 AQ20:AQ23 AQ25:AQ26 AQ29:AQ34 AO43:AQ43 AQ37:AQ42 AO49:AQ49 AQ44:AQ48 AO55:AQ57 AQ50:AQ54 AS18:AT18 AS24 AS28:AT28 AS36:AT36 AS43:AT43 AS49:AT49 AS55:AT57 AU55:AU57 AY55 BA35 BA27 BA19 BA50:BA54 AZ55:BA59 BA44:BA48 AZ49:BA49 BA37:BA42 AZ43:BA43 BA29:BA34 AZ36:BA36 BA25:BA26 AZ28:BA28 BA20:BA23 AZ24:BA24 AZ18:BA18 AW56:AY57 AY49 AY43 AU24 AU35 AU27 AU19 AU50:AU54 AS58:AU59 AU44:AU48 AU49 AU37:AU42 AU43 AU29:AU34 AU36 AU25:AU26 AU28 AU20:AU23 AU18 AO58:AQ59 AK58:AM59 AH58:AI59 AE58:AF59 W58:X59 T58:T59 P58:R59 L58:N59 G58:J59 Z58:AC59 AW58:AY59 AY24 AY18 AY28 AY36 BB57 E58:F59 BC57:BD57 E36:F36 BC36:BD36 F28 BC28:BD28 E18:F18 BC18:BD18 F24 BC24:BD24 BB58:BD59 AD58:AD59 K58:K59 O58:O59 S58:S59 U58:V59 Y58:Y59 AG58:AG59 AJ58:AJ59 AN58:AN59 AR58:AR59 AW18:AX18 AW20:AZ23 AW28:AX28 AW25:AZ26 AW36:AX36 AW29:AZ34 E43:F43 AW43:AX43 AW37:AZ42 E55:F55 E49:F49 AW49:AX49 AW44:AZ48 AV58:AV59 AW50:AZ54 AW19:AZ19 AW27:AZ27 AW35:AZ35 AW24:AX24 BC43:BD43 BC49:BD49 BC56:BD56 BC20:BD23 BC25:BD26 BC29:BD34 BC37:BD42 BC44:BD48 BC55:BD55 BC50:BD54 BC19:BD19 BC27:BD27 BC35:BD35 AV57 AW55:AX55 I17 I19 I27 I35 I12 L12:M12 P12 N12 J12 G12:H12 Q12 W17 W12 W13 W14 W15 W16 U55:U56 W35 W27 W19 W50:W54 W44:W48 W37:W42 W29:W34 W25:W26 W20:W23 AY12 F56 E12" formula="1"/>
  </ignoredErrors>
  <drawing r:id="rId2"/>
  <legacyDrawing r:id="rId3"/>
  <controls>
    <mc:AlternateContent xmlns:mc="http://schemas.openxmlformats.org/markup-compatibility/2006">
      <mc:Choice Requires="x14">
        <control shapeId="3073" r:id="rId4" name="ComboBox1">
          <controlPr defaultSize="0" autoLine="0" autoPict="0" linkedCell="Control!E5" listFillRange="Control!B2:C14" r:id="rId5">
            <anchor moveWithCells="1">
              <from>
                <xdr:col>6</xdr:col>
                <xdr:colOff>790575</xdr:colOff>
                <xdr:row>0</xdr:row>
                <xdr:rowOff>142875</xdr:rowOff>
              </from>
              <to>
                <xdr:col>9</xdr:col>
                <xdr:colOff>323850</xdr:colOff>
                <xdr:row>2</xdr:row>
                <xdr:rowOff>76200</xdr:rowOff>
              </to>
            </anchor>
          </controlPr>
        </control>
      </mc:Choice>
      <mc:Fallback>
        <control shapeId="3073" r:id="rId4" name="ComboBox1"/>
      </mc:Fallback>
    </mc:AlternateContent>
  </control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7"/>
  <dimension ref="B2:L14"/>
  <sheetViews>
    <sheetView workbookViewId="0">
      <selection activeCell="T15" sqref="T15"/>
    </sheetView>
  </sheetViews>
  <sheetFormatPr defaultRowHeight="15"/>
  <cols>
    <col min="3" max="3" width="10.42578125" bestFit="1" customWidth="1"/>
    <col min="10" max="10" width="10.42578125" bestFit="1" customWidth="1"/>
    <col min="12" max="12" width="10.42578125" bestFit="1" customWidth="1"/>
  </cols>
  <sheetData>
    <row r="2" spans="2:12">
      <c r="B2" s="20" t="s">
        <v>189</v>
      </c>
      <c r="C2" s="16">
        <v>44287</v>
      </c>
      <c r="F2" t="str">
        <f>VLOOKUP($E$5,$B$2:$C$14,1,0)</f>
        <v>01/04/2022</v>
      </c>
    </row>
    <row r="3" spans="2:12">
      <c r="B3" s="21" t="s">
        <v>190</v>
      </c>
      <c r="C3" s="16">
        <v>44317</v>
      </c>
    </row>
    <row r="4" spans="2:12">
      <c r="B4" s="20" t="s">
        <v>191</v>
      </c>
      <c r="C4" s="16">
        <v>44348</v>
      </c>
    </row>
    <row r="5" spans="2:12">
      <c r="B5" s="21" t="s">
        <v>192</v>
      </c>
      <c r="C5" s="16">
        <v>44378</v>
      </c>
      <c r="E5" t="s">
        <v>193</v>
      </c>
      <c r="J5" s="16">
        <v>44105</v>
      </c>
    </row>
    <row r="6" spans="2:12">
      <c r="B6" s="20" t="s">
        <v>194</v>
      </c>
      <c r="C6" s="16">
        <v>44409</v>
      </c>
    </row>
    <row r="7" spans="2:12">
      <c r="B7" s="21" t="s">
        <v>195</v>
      </c>
      <c r="C7" s="16">
        <v>44440</v>
      </c>
    </row>
    <row r="8" spans="2:12">
      <c r="B8" s="20" t="s">
        <v>196</v>
      </c>
      <c r="C8" s="16">
        <v>44470</v>
      </c>
    </row>
    <row r="9" spans="2:12">
      <c r="B9" s="21" t="s">
        <v>197</v>
      </c>
      <c r="C9" s="16">
        <v>44501</v>
      </c>
      <c r="J9" s="16">
        <v>44287</v>
      </c>
      <c r="L9" s="16">
        <f>$J$9</f>
        <v>44287</v>
      </c>
    </row>
    <row r="10" spans="2:12">
      <c r="B10" s="21" t="s">
        <v>198</v>
      </c>
      <c r="C10" s="16">
        <v>44531</v>
      </c>
    </row>
    <row r="11" spans="2:12">
      <c r="B11" s="21" t="s">
        <v>199</v>
      </c>
      <c r="C11" s="16">
        <v>44562</v>
      </c>
    </row>
    <row r="12" spans="2:12">
      <c r="B12" s="21" t="s">
        <v>200</v>
      </c>
      <c r="C12" s="16">
        <v>44593</v>
      </c>
    </row>
    <row r="13" spans="2:12">
      <c r="B13" s="21" t="s">
        <v>201</v>
      </c>
      <c r="C13" s="16">
        <v>44621</v>
      </c>
    </row>
    <row r="14" spans="2:12">
      <c r="B14" s="21" t="s">
        <v>193</v>
      </c>
      <c r="C14" s="16">
        <v>44652</v>
      </c>
    </row>
  </sheetData>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8"/>
  <dimension ref="A1:J41"/>
  <sheetViews>
    <sheetView topLeftCell="A7" workbookViewId="0">
      <selection activeCell="E14" sqref="E14"/>
    </sheetView>
  </sheetViews>
  <sheetFormatPr defaultRowHeight="15"/>
  <sheetData>
    <row r="1" spans="1:10" ht="30">
      <c r="A1" s="6" t="s">
        <v>202</v>
      </c>
      <c r="B1" s="6" t="s">
        <v>203</v>
      </c>
      <c r="C1" s="6" t="s">
        <v>204</v>
      </c>
      <c r="D1" s="6" t="s">
        <v>205</v>
      </c>
      <c r="E1" s="6" t="s">
        <v>35</v>
      </c>
      <c r="I1" s="6" t="s">
        <v>206</v>
      </c>
      <c r="J1" s="6" t="s">
        <v>35</v>
      </c>
    </row>
    <row r="2" spans="1:10">
      <c r="A2" s="7" t="s">
        <v>69</v>
      </c>
      <c r="B2" s="8" t="s">
        <v>150</v>
      </c>
      <c r="E2" s="8" t="s">
        <v>74</v>
      </c>
      <c r="I2" t="str">
        <f>INDEX($A$2:$A$40,MATCH(Summary!$F$9,Practice!$B$2:$B$40,0))</f>
        <v>F86638</v>
      </c>
      <c r="J2" t="str">
        <f>VLOOKUP($I$2,$A$2:$E$40,5,0)</f>
        <v>WF-1</v>
      </c>
    </row>
    <row r="3" spans="1:10">
      <c r="A3" s="7" t="s">
        <v>70</v>
      </c>
      <c r="B3" s="8" t="s">
        <v>151</v>
      </c>
      <c r="E3" s="8" t="s">
        <v>74</v>
      </c>
    </row>
    <row r="4" spans="1:10">
      <c r="A4" s="7" t="s">
        <v>71</v>
      </c>
      <c r="B4" s="8" t="s">
        <v>152</v>
      </c>
      <c r="E4" s="8" t="s">
        <v>74</v>
      </c>
    </row>
    <row r="5" spans="1:10">
      <c r="A5" s="7" t="s">
        <v>52</v>
      </c>
      <c r="B5" s="8" t="s">
        <v>141</v>
      </c>
      <c r="E5" s="8" t="s">
        <v>67</v>
      </c>
    </row>
    <row r="6" spans="1:10">
      <c r="A6" s="7" t="s">
        <v>54</v>
      </c>
      <c r="B6" s="8" t="s">
        <v>142</v>
      </c>
      <c r="E6" s="8" t="s">
        <v>67</v>
      </c>
    </row>
    <row r="7" spans="1:10">
      <c r="A7" s="7" t="s">
        <v>72</v>
      </c>
      <c r="B7" s="8" t="s">
        <v>153</v>
      </c>
      <c r="E7" s="8" t="s">
        <v>74</v>
      </c>
    </row>
    <row r="8" spans="1:10">
      <c r="A8" s="7" t="s">
        <v>57</v>
      </c>
      <c r="B8" s="8" t="s">
        <v>34</v>
      </c>
      <c r="E8" s="8" t="s">
        <v>67</v>
      </c>
    </row>
    <row r="9" spans="1:10">
      <c r="A9" s="7" t="s">
        <v>75</v>
      </c>
      <c r="B9" s="8" t="s">
        <v>155</v>
      </c>
      <c r="E9" s="8" t="s">
        <v>77</v>
      </c>
    </row>
    <row r="10" spans="1:10">
      <c r="A10" s="7" t="s">
        <v>78</v>
      </c>
      <c r="B10" s="8" t="s">
        <v>159</v>
      </c>
      <c r="E10" s="8" t="s">
        <v>84</v>
      </c>
    </row>
    <row r="11" spans="1:10">
      <c r="A11" s="7" t="s">
        <v>76</v>
      </c>
      <c r="B11" s="8" t="s">
        <v>156</v>
      </c>
      <c r="E11" s="8" t="s">
        <v>77</v>
      </c>
    </row>
    <row r="12" spans="1:10">
      <c r="A12" s="7" t="s">
        <v>79</v>
      </c>
      <c r="B12" s="8" t="s">
        <v>160</v>
      </c>
      <c r="E12" s="8" t="s">
        <v>84</v>
      </c>
    </row>
    <row r="13" spans="1:10">
      <c r="A13" s="7" t="s">
        <v>80</v>
      </c>
      <c r="B13" s="8" t="s">
        <v>161</v>
      </c>
      <c r="E13" s="8" t="s">
        <v>84</v>
      </c>
      <c r="I13" s="9" t="s">
        <v>67</v>
      </c>
      <c r="J13" s="10" t="s">
        <v>148</v>
      </c>
    </row>
    <row r="14" spans="1:10">
      <c r="A14" s="7" t="s">
        <v>85</v>
      </c>
      <c r="B14" s="8" t="s">
        <v>167</v>
      </c>
      <c r="E14" s="8" t="s">
        <v>91</v>
      </c>
      <c r="I14" s="9" t="s">
        <v>74</v>
      </c>
      <c r="J14" s="10" t="s">
        <v>154</v>
      </c>
    </row>
    <row r="15" spans="1:10">
      <c r="A15" s="7" t="s">
        <v>81</v>
      </c>
      <c r="B15" s="8" t="s">
        <v>162</v>
      </c>
      <c r="E15" s="8" t="s">
        <v>84</v>
      </c>
      <c r="I15" s="9" t="s">
        <v>77</v>
      </c>
      <c r="J15" s="10" t="s">
        <v>158</v>
      </c>
    </row>
    <row r="16" spans="1:10">
      <c r="A16" s="7" t="s">
        <v>86</v>
      </c>
      <c r="B16" s="8" t="s">
        <v>168</v>
      </c>
      <c r="E16" s="8" t="s">
        <v>91</v>
      </c>
      <c r="I16" s="9" t="s">
        <v>84</v>
      </c>
      <c r="J16" s="10" t="s">
        <v>166</v>
      </c>
    </row>
    <row r="17" spans="1:10">
      <c r="A17" s="7" t="s">
        <v>87</v>
      </c>
      <c r="B17" s="8" t="s">
        <v>169</v>
      </c>
      <c r="E17" s="8" t="s">
        <v>91</v>
      </c>
      <c r="I17" s="9" t="s">
        <v>91</v>
      </c>
      <c r="J17" s="10" t="s">
        <v>173</v>
      </c>
    </row>
    <row r="18" spans="1:10">
      <c r="A18" s="7" t="s">
        <v>82</v>
      </c>
      <c r="B18" s="8" t="s">
        <v>163</v>
      </c>
      <c r="E18" s="8" t="s">
        <v>84</v>
      </c>
      <c r="I18" s="9" t="s">
        <v>97</v>
      </c>
      <c r="J18" s="10" t="s">
        <v>179</v>
      </c>
    </row>
    <row r="19" spans="1:10">
      <c r="A19" s="7" t="s">
        <v>88</v>
      </c>
      <c r="B19" s="8" t="s">
        <v>170</v>
      </c>
      <c r="E19" s="8" t="s">
        <v>91</v>
      </c>
      <c r="I19" s="9" t="s">
        <v>103</v>
      </c>
      <c r="J19" s="10" t="s">
        <v>185</v>
      </c>
    </row>
    <row r="20" spans="1:10">
      <c r="A20" s="7" t="s">
        <v>89</v>
      </c>
      <c r="B20" s="8" t="s">
        <v>171</v>
      </c>
      <c r="E20" s="8" t="s">
        <v>91</v>
      </c>
    </row>
    <row r="21" spans="1:10">
      <c r="A21" s="7" t="s">
        <v>90</v>
      </c>
      <c r="B21" s="8" t="s">
        <v>172</v>
      </c>
      <c r="E21" s="8" t="s">
        <v>91</v>
      </c>
    </row>
    <row r="22" spans="1:10">
      <c r="A22" s="7" t="s">
        <v>83</v>
      </c>
      <c r="B22" s="8" t="s">
        <v>164</v>
      </c>
      <c r="E22" s="8" t="s">
        <v>84</v>
      </c>
    </row>
    <row r="23" spans="1:10">
      <c r="A23" s="7" t="s">
        <v>59</v>
      </c>
      <c r="B23" s="8" t="s">
        <v>157</v>
      </c>
      <c r="E23" s="8" t="s">
        <v>77</v>
      </c>
    </row>
    <row r="24" spans="1:10">
      <c r="A24" s="7" t="s">
        <v>63</v>
      </c>
      <c r="B24" s="8" t="s">
        <v>165</v>
      </c>
      <c r="E24" s="8" t="s">
        <v>84</v>
      </c>
    </row>
    <row r="25" spans="1:10">
      <c r="A25" s="7" t="s">
        <v>92</v>
      </c>
      <c r="B25" s="8" t="s">
        <v>174</v>
      </c>
      <c r="E25" s="8" t="s">
        <v>97</v>
      </c>
    </row>
    <row r="26" spans="1:10">
      <c r="A26" s="7" t="s">
        <v>93</v>
      </c>
      <c r="B26" t="s">
        <v>175</v>
      </c>
      <c r="E26" s="8" t="s">
        <v>97</v>
      </c>
    </row>
    <row r="27" spans="1:10">
      <c r="A27" s="7" t="s">
        <v>94</v>
      </c>
      <c r="B27" s="8" t="s">
        <v>176</v>
      </c>
      <c r="E27" s="8" t="s">
        <v>97</v>
      </c>
    </row>
    <row r="28" spans="1:10">
      <c r="A28" s="7" t="s">
        <v>61</v>
      </c>
      <c r="B28" s="8" t="s">
        <v>143</v>
      </c>
      <c r="E28" s="8" t="s">
        <v>67</v>
      </c>
    </row>
    <row r="29" spans="1:10">
      <c r="A29" s="7" t="s">
        <v>95</v>
      </c>
      <c r="B29" s="8" t="s">
        <v>177</v>
      </c>
      <c r="E29" s="8" t="s">
        <v>97</v>
      </c>
    </row>
    <row r="30" spans="1:10">
      <c r="A30" s="7" t="s">
        <v>98</v>
      </c>
      <c r="B30" s="8" t="s">
        <v>180</v>
      </c>
      <c r="E30" s="8" t="s">
        <v>103</v>
      </c>
    </row>
    <row r="31" spans="1:10">
      <c r="A31" s="7" t="s">
        <v>64</v>
      </c>
      <c r="B31" s="8" t="s">
        <v>144</v>
      </c>
      <c r="E31" s="8" t="s">
        <v>67</v>
      </c>
    </row>
    <row r="32" spans="1:10">
      <c r="A32" s="7" t="s">
        <v>99</v>
      </c>
      <c r="B32" s="8" t="s">
        <v>181</v>
      </c>
      <c r="E32" s="8" t="s">
        <v>103</v>
      </c>
    </row>
    <row r="33" spans="1:5">
      <c r="A33" s="7" t="s">
        <v>100</v>
      </c>
      <c r="B33" s="8" t="s">
        <v>182</v>
      </c>
      <c r="E33" s="8" t="s">
        <v>103</v>
      </c>
    </row>
    <row r="34" spans="1:5">
      <c r="A34" s="7" t="s">
        <v>101</v>
      </c>
      <c r="B34" s="8" t="s">
        <v>183</v>
      </c>
      <c r="E34" s="8" t="s">
        <v>103</v>
      </c>
    </row>
    <row r="35" spans="1:5">
      <c r="A35" s="7" t="s">
        <v>65</v>
      </c>
      <c r="B35" s="8" t="s">
        <v>145</v>
      </c>
      <c r="E35" s="8" t="s">
        <v>67</v>
      </c>
    </row>
    <row r="36" spans="1:5">
      <c r="A36" s="7" t="s">
        <v>102</v>
      </c>
      <c r="B36" s="8" t="s">
        <v>184</v>
      </c>
      <c r="E36" s="8" t="s">
        <v>103</v>
      </c>
    </row>
    <row r="37" spans="1:5">
      <c r="A37" t="s">
        <v>66</v>
      </c>
      <c r="B37" s="8" t="s">
        <v>146</v>
      </c>
      <c r="E37" s="8" t="s">
        <v>67</v>
      </c>
    </row>
    <row r="38" spans="1:5">
      <c r="A38" t="s">
        <v>96</v>
      </c>
      <c r="B38" s="8" t="s">
        <v>178</v>
      </c>
      <c r="E38" s="8" t="s">
        <v>97</v>
      </c>
    </row>
    <row r="39" spans="1:5">
      <c r="A39" t="s">
        <v>58</v>
      </c>
      <c r="B39" s="8" t="s">
        <v>147</v>
      </c>
      <c r="E39" s="8" t="s">
        <v>67</v>
      </c>
    </row>
    <row r="40" spans="1:5">
      <c r="A40" t="s">
        <v>56</v>
      </c>
      <c r="B40" t="s">
        <v>149</v>
      </c>
      <c r="E40" t="s">
        <v>74</v>
      </c>
    </row>
    <row r="41" spans="1:5">
      <c r="A41" t="s">
        <v>37</v>
      </c>
      <c r="B41" s="8" t="s">
        <v>37</v>
      </c>
      <c r="E41" s="8" t="s">
        <v>37</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0"/>
  <dimension ref="A1:AD498"/>
  <sheetViews>
    <sheetView workbookViewId="0">
      <selection activeCell="E11" sqref="E11"/>
    </sheetView>
  </sheetViews>
  <sheetFormatPr defaultRowHeight="15"/>
  <cols>
    <col min="1" max="1" width="12.28515625" bestFit="1" customWidth="1"/>
    <col min="2" max="2" width="10.7109375" style="16" bestFit="1" customWidth="1"/>
    <col min="3" max="3" width="15.85546875" bestFit="1" customWidth="1"/>
    <col min="4" max="4" width="8.28515625" bestFit="1" customWidth="1"/>
    <col min="5" max="5" width="47.42578125" bestFit="1" customWidth="1"/>
    <col min="6" max="6" width="35.140625" bestFit="1" customWidth="1"/>
    <col min="7" max="7" width="17.5703125" bestFit="1" customWidth="1"/>
    <col min="8" max="8" width="40.42578125" bestFit="1" customWidth="1"/>
    <col min="9" max="9" width="24.28515625" bestFit="1" customWidth="1"/>
    <col min="10" max="10" width="24.42578125" bestFit="1" customWidth="1"/>
    <col min="11" max="11" width="32.28515625" bestFit="1" customWidth="1"/>
    <col min="12" max="12" width="41" bestFit="1" customWidth="1"/>
    <col min="13" max="13" width="33.140625" bestFit="1" customWidth="1"/>
    <col min="14" max="14" width="34" bestFit="1" customWidth="1"/>
    <col min="15" max="15" width="33.7109375" bestFit="1" customWidth="1"/>
    <col min="16" max="16" width="54.7109375" bestFit="1" customWidth="1"/>
    <col min="17" max="17" width="36.28515625" bestFit="1" customWidth="1"/>
    <col min="18" max="18" width="17.7109375" bestFit="1" customWidth="1"/>
    <col min="19" max="19" width="39.42578125" bestFit="1" customWidth="1"/>
    <col min="20" max="20" width="14" bestFit="1" customWidth="1"/>
    <col min="21" max="21" width="11.85546875" bestFit="1" customWidth="1"/>
    <col min="22" max="22" width="36.140625" bestFit="1" customWidth="1"/>
    <col min="23" max="23" width="50" bestFit="1" customWidth="1"/>
    <col min="24" max="24" width="62.28515625" bestFit="1" customWidth="1"/>
    <col min="25" max="25" width="46.85546875" bestFit="1" customWidth="1"/>
    <col min="26" max="26" width="15.85546875" bestFit="1" customWidth="1"/>
    <col min="27" max="27" width="24.85546875" bestFit="1" customWidth="1"/>
    <col min="28" max="28" width="15.7109375" bestFit="1" customWidth="1"/>
    <col min="29" max="29" width="23.7109375" bestFit="1" customWidth="1"/>
    <col min="30" max="30" width="52.42578125" bestFit="1" customWidth="1"/>
  </cols>
  <sheetData>
    <row r="1" spans="1:30">
      <c r="A1" t="s">
        <v>207</v>
      </c>
      <c r="B1" s="16" t="s">
        <v>208</v>
      </c>
      <c r="C1" t="s">
        <v>209</v>
      </c>
      <c r="D1" t="s">
        <v>210</v>
      </c>
      <c r="E1" t="s">
        <v>211</v>
      </c>
      <c r="F1" t="s">
        <v>106</v>
      </c>
      <c r="G1" t="s">
        <v>117</v>
      </c>
      <c r="H1" t="s">
        <v>6</v>
      </c>
      <c r="I1" t="s">
        <v>119</v>
      </c>
      <c r="J1" t="s">
        <v>7</v>
      </c>
      <c r="K1" t="s">
        <v>107</v>
      </c>
      <c r="L1" t="s">
        <v>121</v>
      </c>
      <c r="M1" t="s">
        <v>125</v>
      </c>
      <c r="N1" t="s">
        <v>123</v>
      </c>
      <c r="O1" t="s">
        <v>212</v>
      </c>
      <c r="P1" t="s">
        <v>12</v>
      </c>
      <c r="Q1" t="s">
        <v>129</v>
      </c>
      <c r="R1" t="s">
        <v>9</v>
      </c>
      <c r="S1" t="s">
        <v>108</v>
      </c>
      <c r="T1" t="s">
        <v>133</v>
      </c>
      <c r="U1" t="s">
        <v>31</v>
      </c>
      <c r="V1" t="s">
        <v>17</v>
      </c>
      <c r="W1" t="s">
        <v>109</v>
      </c>
      <c r="X1" t="s">
        <v>136</v>
      </c>
      <c r="Y1" t="s">
        <v>213</v>
      </c>
      <c r="Z1" t="s">
        <v>2</v>
      </c>
      <c r="AA1" t="s">
        <v>214</v>
      </c>
      <c r="AB1" t="s">
        <v>215</v>
      </c>
      <c r="AC1" t="s">
        <v>216</v>
      </c>
      <c r="AD1" t="s">
        <v>217</v>
      </c>
    </row>
    <row r="2" spans="1:30">
      <c r="A2" t="s">
        <v>218</v>
      </c>
      <c r="B2" s="16">
        <v>44470</v>
      </c>
      <c r="C2" s="394"/>
      <c r="D2" t="s">
        <v>56</v>
      </c>
      <c r="E2">
        <v>12456</v>
      </c>
      <c r="F2">
        <v>677</v>
      </c>
      <c r="G2">
        <v>630</v>
      </c>
      <c r="H2">
        <v>337</v>
      </c>
      <c r="I2">
        <v>372</v>
      </c>
      <c r="J2">
        <v>34</v>
      </c>
      <c r="K2">
        <v>158</v>
      </c>
      <c r="L2">
        <v>127</v>
      </c>
      <c r="M2">
        <v>75</v>
      </c>
      <c r="N2">
        <v>66</v>
      </c>
      <c r="O2">
        <v>755</v>
      </c>
      <c r="P2">
        <v>476</v>
      </c>
      <c r="Q2">
        <v>462</v>
      </c>
      <c r="R2">
        <v>467</v>
      </c>
      <c r="S2">
        <v>1947</v>
      </c>
      <c r="T2">
        <v>494</v>
      </c>
      <c r="U2">
        <v>1453</v>
      </c>
      <c r="V2">
        <v>826</v>
      </c>
      <c r="W2">
        <v>548</v>
      </c>
      <c r="X2">
        <v>280</v>
      </c>
      <c r="Y2">
        <v>793</v>
      </c>
      <c r="Z2">
        <v>405</v>
      </c>
      <c r="AA2">
        <v>1</v>
      </c>
      <c r="AB2" t="s">
        <v>74</v>
      </c>
      <c r="AC2" t="s">
        <v>154</v>
      </c>
      <c r="AD2" t="s">
        <v>50</v>
      </c>
    </row>
    <row r="3" spans="1:30">
      <c r="A3" t="s">
        <v>218</v>
      </c>
      <c r="B3" s="16">
        <v>44470</v>
      </c>
      <c r="C3" s="394"/>
      <c r="D3" t="s">
        <v>63</v>
      </c>
      <c r="E3">
        <v>7762</v>
      </c>
      <c r="F3">
        <v>670</v>
      </c>
      <c r="G3">
        <v>620</v>
      </c>
      <c r="H3">
        <v>176</v>
      </c>
      <c r="I3">
        <v>428</v>
      </c>
      <c r="J3">
        <v>25</v>
      </c>
      <c r="K3">
        <v>106</v>
      </c>
      <c r="L3">
        <v>88</v>
      </c>
      <c r="M3">
        <v>5</v>
      </c>
      <c r="N3">
        <v>3</v>
      </c>
      <c r="O3">
        <v>396</v>
      </c>
      <c r="P3">
        <v>327</v>
      </c>
      <c r="Q3">
        <v>325</v>
      </c>
      <c r="R3">
        <v>316</v>
      </c>
      <c r="S3">
        <v>1306</v>
      </c>
      <c r="T3">
        <v>396</v>
      </c>
      <c r="U3">
        <v>910</v>
      </c>
      <c r="V3">
        <v>562</v>
      </c>
      <c r="W3">
        <v>347</v>
      </c>
      <c r="X3">
        <v>130</v>
      </c>
      <c r="Y3">
        <v>460</v>
      </c>
      <c r="Z3">
        <v>221</v>
      </c>
      <c r="AA3">
        <v>49</v>
      </c>
      <c r="AB3" t="s">
        <v>84</v>
      </c>
      <c r="AC3" t="s">
        <v>166</v>
      </c>
      <c r="AD3" t="s">
        <v>219</v>
      </c>
    </row>
    <row r="4" spans="1:30">
      <c r="A4" t="s">
        <v>218</v>
      </c>
      <c r="B4" s="16">
        <v>44470</v>
      </c>
      <c r="C4" s="394"/>
      <c r="D4" t="s">
        <v>58</v>
      </c>
      <c r="E4">
        <v>5621</v>
      </c>
      <c r="F4">
        <v>421</v>
      </c>
      <c r="G4">
        <v>392</v>
      </c>
      <c r="H4">
        <v>191</v>
      </c>
      <c r="I4">
        <v>313</v>
      </c>
      <c r="J4">
        <v>36</v>
      </c>
      <c r="K4">
        <v>75</v>
      </c>
      <c r="L4">
        <v>25</v>
      </c>
      <c r="O4">
        <v>361</v>
      </c>
      <c r="P4">
        <v>340</v>
      </c>
      <c r="Q4">
        <v>285</v>
      </c>
      <c r="R4">
        <v>281</v>
      </c>
      <c r="S4">
        <v>714</v>
      </c>
      <c r="T4">
        <v>383</v>
      </c>
      <c r="U4">
        <v>331</v>
      </c>
      <c r="V4">
        <v>149</v>
      </c>
      <c r="W4">
        <v>220</v>
      </c>
      <c r="X4">
        <v>110</v>
      </c>
      <c r="Y4">
        <v>335</v>
      </c>
      <c r="Z4">
        <v>135</v>
      </c>
      <c r="AA4">
        <v>26</v>
      </c>
      <c r="AB4" t="s">
        <v>67</v>
      </c>
      <c r="AC4" t="s">
        <v>148</v>
      </c>
      <c r="AD4" t="s">
        <v>49</v>
      </c>
    </row>
    <row r="5" spans="1:30">
      <c r="A5" t="s">
        <v>218</v>
      </c>
      <c r="B5" s="16">
        <v>44470</v>
      </c>
      <c r="C5" s="394"/>
      <c r="D5" t="s">
        <v>59</v>
      </c>
      <c r="E5">
        <v>11913</v>
      </c>
      <c r="F5">
        <v>870</v>
      </c>
      <c r="G5">
        <v>828</v>
      </c>
      <c r="H5">
        <v>649</v>
      </c>
      <c r="I5">
        <v>701</v>
      </c>
      <c r="J5">
        <v>79</v>
      </c>
      <c r="K5">
        <v>113</v>
      </c>
      <c r="L5">
        <v>106</v>
      </c>
      <c r="M5">
        <v>49</v>
      </c>
      <c r="N5">
        <v>74</v>
      </c>
      <c r="O5">
        <v>586</v>
      </c>
      <c r="P5">
        <v>432</v>
      </c>
      <c r="Q5">
        <v>418</v>
      </c>
      <c r="R5">
        <v>421</v>
      </c>
      <c r="S5">
        <v>1490</v>
      </c>
      <c r="T5">
        <v>634</v>
      </c>
      <c r="U5">
        <v>856</v>
      </c>
      <c r="V5">
        <v>491</v>
      </c>
      <c r="W5">
        <v>575</v>
      </c>
      <c r="X5">
        <v>220</v>
      </c>
      <c r="Y5">
        <v>498</v>
      </c>
      <c r="Z5">
        <v>226</v>
      </c>
      <c r="AA5">
        <v>4</v>
      </c>
      <c r="AB5" t="s">
        <v>77</v>
      </c>
      <c r="AC5" t="s">
        <v>158</v>
      </c>
      <c r="AD5" t="s">
        <v>51</v>
      </c>
    </row>
    <row r="6" spans="1:30">
      <c r="A6" t="s">
        <v>218</v>
      </c>
      <c r="B6" s="16">
        <v>44470</v>
      </c>
      <c r="C6" s="394"/>
      <c r="D6" t="s">
        <v>57</v>
      </c>
      <c r="E6">
        <v>4108</v>
      </c>
      <c r="F6">
        <v>378</v>
      </c>
      <c r="G6">
        <v>365</v>
      </c>
      <c r="H6">
        <v>266</v>
      </c>
      <c r="I6">
        <v>263</v>
      </c>
      <c r="J6">
        <v>40</v>
      </c>
      <c r="K6">
        <v>61</v>
      </c>
      <c r="L6">
        <v>48</v>
      </c>
      <c r="M6">
        <v>9</v>
      </c>
      <c r="N6">
        <v>2</v>
      </c>
      <c r="O6">
        <v>210</v>
      </c>
      <c r="P6">
        <v>144</v>
      </c>
      <c r="Q6">
        <v>139</v>
      </c>
      <c r="R6">
        <v>142</v>
      </c>
      <c r="S6">
        <v>781</v>
      </c>
      <c r="T6">
        <v>249</v>
      </c>
      <c r="U6">
        <v>532</v>
      </c>
      <c r="V6">
        <v>345</v>
      </c>
      <c r="W6">
        <v>198</v>
      </c>
      <c r="X6">
        <v>94</v>
      </c>
      <c r="Y6">
        <v>265</v>
      </c>
      <c r="Z6">
        <v>100</v>
      </c>
      <c r="AA6">
        <v>32</v>
      </c>
      <c r="AB6" t="s">
        <v>67</v>
      </c>
      <c r="AC6" t="s">
        <v>148</v>
      </c>
      <c r="AD6" t="s">
        <v>48</v>
      </c>
    </row>
    <row r="7" spans="1:30">
      <c r="A7" t="s">
        <v>218</v>
      </c>
      <c r="B7" s="16">
        <v>44501</v>
      </c>
      <c r="C7" s="394"/>
      <c r="D7" t="s">
        <v>56</v>
      </c>
      <c r="E7">
        <v>12456</v>
      </c>
      <c r="F7">
        <v>677</v>
      </c>
      <c r="G7">
        <v>630</v>
      </c>
      <c r="H7">
        <v>337</v>
      </c>
      <c r="I7">
        <v>372</v>
      </c>
      <c r="J7">
        <v>34</v>
      </c>
      <c r="K7">
        <v>158</v>
      </c>
      <c r="L7">
        <v>127</v>
      </c>
      <c r="M7">
        <v>75</v>
      </c>
      <c r="N7">
        <v>66</v>
      </c>
      <c r="O7">
        <v>755</v>
      </c>
      <c r="P7">
        <v>476</v>
      </c>
      <c r="Q7">
        <v>462</v>
      </c>
      <c r="R7">
        <v>467</v>
      </c>
      <c r="S7">
        <v>1947</v>
      </c>
      <c r="T7">
        <v>494</v>
      </c>
      <c r="U7">
        <v>1453</v>
      </c>
      <c r="V7">
        <v>826</v>
      </c>
      <c r="W7">
        <v>548</v>
      </c>
      <c r="X7">
        <v>280</v>
      </c>
      <c r="Y7">
        <v>793</v>
      </c>
      <c r="Z7">
        <v>405</v>
      </c>
      <c r="AA7">
        <v>1</v>
      </c>
      <c r="AB7" t="s">
        <v>74</v>
      </c>
      <c r="AC7" t="s">
        <v>154</v>
      </c>
      <c r="AD7" t="s">
        <v>50</v>
      </c>
    </row>
    <row r="8" spans="1:30">
      <c r="A8" t="s">
        <v>218</v>
      </c>
      <c r="B8" s="16">
        <v>44501</v>
      </c>
      <c r="C8" s="394"/>
      <c r="D8" t="s">
        <v>63</v>
      </c>
      <c r="E8">
        <v>7762</v>
      </c>
      <c r="F8">
        <v>670</v>
      </c>
      <c r="G8">
        <v>620</v>
      </c>
      <c r="H8">
        <v>176</v>
      </c>
      <c r="I8">
        <v>428</v>
      </c>
      <c r="J8">
        <v>25</v>
      </c>
      <c r="K8">
        <v>106</v>
      </c>
      <c r="L8">
        <v>88</v>
      </c>
      <c r="M8">
        <v>5</v>
      </c>
      <c r="N8">
        <v>3</v>
      </c>
      <c r="O8">
        <v>396</v>
      </c>
      <c r="P8">
        <v>327</v>
      </c>
      <c r="Q8">
        <v>325</v>
      </c>
      <c r="R8">
        <v>316</v>
      </c>
      <c r="S8">
        <v>1306</v>
      </c>
      <c r="T8">
        <v>396</v>
      </c>
      <c r="U8">
        <v>910</v>
      </c>
      <c r="V8">
        <v>562</v>
      </c>
      <c r="W8">
        <v>347</v>
      </c>
      <c r="X8">
        <v>130</v>
      </c>
      <c r="Y8">
        <v>460</v>
      </c>
      <c r="Z8">
        <v>221</v>
      </c>
      <c r="AA8">
        <v>49</v>
      </c>
      <c r="AB8" t="s">
        <v>84</v>
      </c>
      <c r="AC8" t="s">
        <v>166</v>
      </c>
      <c r="AD8" t="s">
        <v>219</v>
      </c>
    </row>
    <row r="9" spans="1:30">
      <c r="A9" t="s">
        <v>218</v>
      </c>
      <c r="B9" s="16">
        <v>44501</v>
      </c>
      <c r="C9" s="394"/>
      <c r="D9" t="s">
        <v>58</v>
      </c>
      <c r="E9">
        <v>5621</v>
      </c>
      <c r="F9">
        <v>421</v>
      </c>
      <c r="G9">
        <v>392</v>
      </c>
      <c r="H9">
        <v>191</v>
      </c>
      <c r="I9">
        <v>313</v>
      </c>
      <c r="J9">
        <v>36</v>
      </c>
      <c r="K9">
        <v>75</v>
      </c>
      <c r="L9">
        <v>25</v>
      </c>
      <c r="O9">
        <v>361</v>
      </c>
      <c r="P9">
        <v>340</v>
      </c>
      <c r="Q9">
        <v>285</v>
      </c>
      <c r="R9">
        <v>281</v>
      </c>
      <c r="S9">
        <v>714</v>
      </c>
      <c r="T9">
        <v>383</v>
      </c>
      <c r="U9">
        <v>331</v>
      </c>
      <c r="V9">
        <v>149</v>
      </c>
      <c r="W9">
        <v>220</v>
      </c>
      <c r="X9">
        <v>110</v>
      </c>
      <c r="Y9">
        <v>335</v>
      </c>
      <c r="Z9">
        <v>135</v>
      </c>
      <c r="AA9">
        <v>26</v>
      </c>
      <c r="AB9" t="s">
        <v>67</v>
      </c>
      <c r="AC9" t="s">
        <v>148</v>
      </c>
      <c r="AD9" t="s">
        <v>49</v>
      </c>
    </row>
    <row r="10" spans="1:30">
      <c r="A10" t="s">
        <v>218</v>
      </c>
      <c r="B10" s="16">
        <v>44501</v>
      </c>
      <c r="C10" s="394"/>
      <c r="D10" t="s">
        <v>59</v>
      </c>
      <c r="E10">
        <v>11913</v>
      </c>
      <c r="F10">
        <v>870</v>
      </c>
      <c r="G10">
        <v>828</v>
      </c>
      <c r="H10">
        <v>649</v>
      </c>
      <c r="I10">
        <v>701</v>
      </c>
      <c r="J10">
        <v>79</v>
      </c>
      <c r="K10">
        <v>113</v>
      </c>
      <c r="L10">
        <v>106</v>
      </c>
      <c r="M10">
        <v>49</v>
      </c>
      <c r="N10">
        <v>74</v>
      </c>
      <c r="O10">
        <v>586</v>
      </c>
      <c r="P10">
        <v>432</v>
      </c>
      <c r="Q10">
        <v>418</v>
      </c>
      <c r="R10">
        <v>421</v>
      </c>
      <c r="S10">
        <v>1490</v>
      </c>
      <c r="T10">
        <v>634</v>
      </c>
      <c r="U10">
        <v>856</v>
      </c>
      <c r="V10">
        <v>491</v>
      </c>
      <c r="W10">
        <v>575</v>
      </c>
      <c r="X10">
        <v>220</v>
      </c>
      <c r="Y10">
        <v>498</v>
      </c>
      <c r="Z10">
        <v>226</v>
      </c>
      <c r="AA10">
        <v>4</v>
      </c>
      <c r="AB10" t="s">
        <v>77</v>
      </c>
      <c r="AC10" t="s">
        <v>158</v>
      </c>
      <c r="AD10" t="s">
        <v>51</v>
      </c>
    </row>
    <row r="11" spans="1:30">
      <c r="A11" t="s">
        <v>218</v>
      </c>
      <c r="B11" s="16">
        <v>44501</v>
      </c>
      <c r="C11" s="394"/>
      <c r="D11" t="s">
        <v>57</v>
      </c>
      <c r="E11">
        <v>4108</v>
      </c>
      <c r="F11">
        <v>378</v>
      </c>
      <c r="G11">
        <v>365</v>
      </c>
      <c r="H11">
        <v>266</v>
      </c>
      <c r="I11">
        <v>263</v>
      </c>
      <c r="J11">
        <v>40</v>
      </c>
      <c r="K11">
        <v>61</v>
      </c>
      <c r="L11">
        <v>48</v>
      </c>
      <c r="M11">
        <v>9</v>
      </c>
      <c r="N11">
        <v>2</v>
      </c>
      <c r="O11">
        <v>210</v>
      </c>
      <c r="P11">
        <v>144</v>
      </c>
      <c r="Q11">
        <v>139</v>
      </c>
      <c r="R11">
        <v>142</v>
      </c>
      <c r="S11">
        <v>781</v>
      </c>
      <c r="T11">
        <v>249</v>
      </c>
      <c r="U11">
        <v>532</v>
      </c>
      <c r="V11">
        <v>345</v>
      </c>
      <c r="W11">
        <v>198</v>
      </c>
      <c r="X11">
        <v>94</v>
      </c>
      <c r="Y11">
        <v>265</v>
      </c>
      <c r="Z11">
        <v>100</v>
      </c>
      <c r="AA11">
        <v>32</v>
      </c>
      <c r="AB11" t="s">
        <v>67</v>
      </c>
      <c r="AC11" t="s">
        <v>148</v>
      </c>
      <c r="AD11" t="s">
        <v>48</v>
      </c>
    </row>
    <row r="12" spans="1:30">
      <c r="A12" t="s">
        <v>218</v>
      </c>
      <c r="B12" s="16">
        <v>44531</v>
      </c>
      <c r="C12" s="394"/>
      <c r="D12" t="s">
        <v>56</v>
      </c>
      <c r="E12">
        <v>12441</v>
      </c>
      <c r="F12">
        <v>680</v>
      </c>
      <c r="G12">
        <v>631</v>
      </c>
      <c r="H12">
        <v>373</v>
      </c>
      <c r="I12">
        <v>346</v>
      </c>
      <c r="J12">
        <v>36</v>
      </c>
      <c r="K12">
        <v>157</v>
      </c>
      <c r="L12">
        <v>110</v>
      </c>
      <c r="M12">
        <v>70</v>
      </c>
      <c r="N12">
        <v>65</v>
      </c>
      <c r="O12">
        <v>748</v>
      </c>
      <c r="P12">
        <v>455</v>
      </c>
      <c r="Q12">
        <v>443</v>
      </c>
      <c r="R12">
        <v>448</v>
      </c>
      <c r="S12">
        <v>1946</v>
      </c>
      <c r="T12">
        <v>517</v>
      </c>
      <c r="U12">
        <v>1429</v>
      </c>
      <c r="V12">
        <v>858</v>
      </c>
      <c r="W12">
        <v>550</v>
      </c>
      <c r="X12">
        <v>283</v>
      </c>
      <c r="Y12">
        <v>814</v>
      </c>
      <c r="Z12">
        <v>415</v>
      </c>
      <c r="AA12">
        <v>1</v>
      </c>
      <c r="AB12" t="s">
        <v>74</v>
      </c>
      <c r="AC12" t="s">
        <v>154</v>
      </c>
      <c r="AD12" t="s">
        <v>50</v>
      </c>
    </row>
    <row r="13" spans="1:30">
      <c r="A13" t="s">
        <v>218</v>
      </c>
      <c r="B13" s="16">
        <v>44531</v>
      </c>
      <c r="C13" s="394"/>
      <c r="D13" t="s">
        <v>63</v>
      </c>
      <c r="E13">
        <v>7774</v>
      </c>
      <c r="F13">
        <v>672</v>
      </c>
      <c r="G13">
        <v>624</v>
      </c>
      <c r="H13">
        <v>241</v>
      </c>
      <c r="I13">
        <v>438</v>
      </c>
      <c r="J13">
        <v>31</v>
      </c>
      <c r="K13">
        <v>107</v>
      </c>
      <c r="L13">
        <v>91</v>
      </c>
      <c r="M13">
        <v>2</v>
      </c>
      <c r="N13">
        <v>4</v>
      </c>
      <c r="O13">
        <v>392</v>
      </c>
      <c r="P13">
        <v>328</v>
      </c>
      <c r="Q13">
        <v>327</v>
      </c>
      <c r="R13">
        <v>318</v>
      </c>
      <c r="S13">
        <v>1313</v>
      </c>
      <c r="T13">
        <v>407</v>
      </c>
      <c r="U13">
        <v>906</v>
      </c>
      <c r="V13">
        <v>602</v>
      </c>
      <c r="W13">
        <v>352</v>
      </c>
      <c r="X13">
        <v>136</v>
      </c>
      <c r="Y13">
        <v>454</v>
      </c>
      <c r="Z13">
        <v>211</v>
      </c>
      <c r="AA13">
        <v>45</v>
      </c>
      <c r="AB13" t="s">
        <v>84</v>
      </c>
      <c r="AC13" t="s">
        <v>166</v>
      </c>
      <c r="AD13" t="s">
        <v>219</v>
      </c>
    </row>
    <row r="14" spans="1:30">
      <c r="A14" t="s">
        <v>218</v>
      </c>
      <c r="B14" s="16">
        <v>44531</v>
      </c>
      <c r="C14" s="394"/>
      <c r="D14" t="s">
        <v>58</v>
      </c>
      <c r="E14">
        <v>5624</v>
      </c>
      <c r="F14">
        <v>419</v>
      </c>
      <c r="G14">
        <v>389</v>
      </c>
      <c r="H14">
        <v>227</v>
      </c>
      <c r="I14">
        <v>316</v>
      </c>
      <c r="J14">
        <v>42</v>
      </c>
      <c r="K14">
        <v>74</v>
      </c>
      <c r="L14">
        <v>50</v>
      </c>
      <c r="O14">
        <v>360</v>
      </c>
      <c r="P14">
        <v>346</v>
      </c>
      <c r="Q14">
        <v>196</v>
      </c>
      <c r="R14">
        <v>192</v>
      </c>
      <c r="S14">
        <v>701</v>
      </c>
      <c r="T14">
        <v>385</v>
      </c>
      <c r="U14">
        <v>316</v>
      </c>
      <c r="V14">
        <v>155</v>
      </c>
      <c r="W14">
        <v>219</v>
      </c>
      <c r="X14">
        <v>107</v>
      </c>
      <c r="Y14">
        <v>327</v>
      </c>
      <c r="Z14">
        <v>135</v>
      </c>
      <c r="AA14">
        <v>26</v>
      </c>
      <c r="AB14" t="s">
        <v>67</v>
      </c>
      <c r="AC14" t="s">
        <v>148</v>
      </c>
      <c r="AD14" t="s">
        <v>49</v>
      </c>
    </row>
    <row r="15" spans="1:30">
      <c r="A15" t="s">
        <v>218</v>
      </c>
      <c r="B15" s="16">
        <v>44531</v>
      </c>
      <c r="C15" s="394"/>
      <c r="D15" t="s">
        <v>59</v>
      </c>
      <c r="E15">
        <v>11906</v>
      </c>
      <c r="F15">
        <v>869</v>
      </c>
      <c r="G15">
        <v>825</v>
      </c>
      <c r="H15">
        <v>602</v>
      </c>
      <c r="I15">
        <v>701</v>
      </c>
      <c r="J15">
        <v>76</v>
      </c>
      <c r="K15">
        <v>112</v>
      </c>
      <c r="L15">
        <v>86</v>
      </c>
      <c r="M15">
        <v>48</v>
      </c>
      <c r="N15">
        <v>36</v>
      </c>
      <c r="O15">
        <v>586</v>
      </c>
      <c r="P15">
        <v>385</v>
      </c>
      <c r="Q15">
        <v>365</v>
      </c>
      <c r="R15">
        <v>353</v>
      </c>
      <c r="S15">
        <v>1488</v>
      </c>
      <c r="T15">
        <v>582</v>
      </c>
      <c r="U15">
        <v>906</v>
      </c>
      <c r="V15">
        <v>501</v>
      </c>
      <c r="W15">
        <v>577</v>
      </c>
      <c r="X15">
        <v>220</v>
      </c>
      <c r="Y15">
        <v>505</v>
      </c>
      <c r="Z15">
        <v>235</v>
      </c>
      <c r="AA15">
        <v>4</v>
      </c>
      <c r="AB15" t="s">
        <v>77</v>
      </c>
      <c r="AC15" t="s">
        <v>158</v>
      </c>
      <c r="AD15" t="s">
        <v>51</v>
      </c>
    </row>
    <row r="16" spans="1:30">
      <c r="A16" t="s">
        <v>218</v>
      </c>
      <c r="B16" s="16">
        <v>44531</v>
      </c>
      <c r="C16" s="394"/>
      <c r="D16" t="s">
        <v>57</v>
      </c>
      <c r="E16">
        <v>4086</v>
      </c>
      <c r="F16">
        <v>373</v>
      </c>
      <c r="G16">
        <v>360</v>
      </c>
      <c r="H16">
        <v>209</v>
      </c>
      <c r="I16">
        <v>266</v>
      </c>
      <c r="J16">
        <v>33</v>
      </c>
      <c r="K16">
        <v>60</v>
      </c>
      <c r="L16">
        <v>39</v>
      </c>
      <c r="M16">
        <v>9</v>
      </c>
      <c r="N16">
        <v>1</v>
      </c>
      <c r="O16">
        <v>205</v>
      </c>
      <c r="P16">
        <v>109</v>
      </c>
      <c r="Q16">
        <v>102</v>
      </c>
      <c r="R16">
        <v>106</v>
      </c>
      <c r="S16">
        <v>779</v>
      </c>
      <c r="T16">
        <v>235</v>
      </c>
      <c r="U16">
        <v>544</v>
      </c>
      <c r="V16">
        <v>301</v>
      </c>
      <c r="W16">
        <v>196</v>
      </c>
      <c r="X16">
        <v>92</v>
      </c>
      <c r="Y16">
        <v>257</v>
      </c>
      <c r="Z16">
        <v>94</v>
      </c>
      <c r="AA16">
        <v>28</v>
      </c>
      <c r="AB16" t="s">
        <v>67</v>
      </c>
      <c r="AC16" t="s">
        <v>148</v>
      </c>
      <c r="AD16" t="s">
        <v>48</v>
      </c>
    </row>
    <row r="17" spans="1:30">
      <c r="A17" t="s">
        <v>218</v>
      </c>
      <c r="B17" s="16">
        <v>44562</v>
      </c>
      <c r="C17" s="394"/>
      <c r="D17" t="s">
        <v>56</v>
      </c>
      <c r="E17">
        <v>12403</v>
      </c>
      <c r="F17">
        <v>680</v>
      </c>
      <c r="G17">
        <v>630</v>
      </c>
      <c r="H17">
        <v>377</v>
      </c>
      <c r="I17">
        <v>329</v>
      </c>
      <c r="J17">
        <v>33</v>
      </c>
      <c r="K17">
        <v>158</v>
      </c>
      <c r="L17">
        <v>119</v>
      </c>
      <c r="M17">
        <v>85</v>
      </c>
      <c r="N17">
        <v>81</v>
      </c>
      <c r="O17">
        <v>747</v>
      </c>
      <c r="P17">
        <v>452</v>
      </c>
      <c r="Q17">
        <v>438</v>
      </c>
      <c r="R17">
        <v>445</v>
      </c>
      <c r="S17">
        <v>1943</v>
      </c>
      <c r="T17">
        <v>511</v>
      </c>
      <c r="U17">
        <v>1432</v>
      </c>
      <c r="V17">
        <v>870</v>
      </c>
      <c r="W17">
        <v>546</v>
      </c>
      <c r="X17">
        <v>278</v>
      </c>
      <c r="Y17">
        <v>804</v>
      </c>
      <c r="Z17">
        <v>414</v>
      </c>
      <c r="AA17">
        <v>1</v>
      </c>
      <c r="AB17" t="s">
        <v>74</v>
      </c>
      <c r="AC17" t="s">
        <v>154</v>
      </c>
      <c r="AD17" t="s">
        <v>50</v>
      </c>
    </row>
    <row r="18" spans="1:30">
      <c r="A18" t="s">
        <v>218</v>
      </c>
      <c r="B18" s="16">
        <v>44562</v>
      </c>
      <c r="C18" s="394"/>
      <c r="D18" t="s">
        <v>63</v>
      </c>
      <c r="E18">
        <v>7761</v>
      </c>
      <c r="F18">
        <v>673</v>
      </c>
      <c r="G18">
        <v>623</v>
      </c>
      <c r="H18">
        <v>256</v>
      </c>
      <c r="I18">
        <v>443</v>
      </c>
      <c r="J18">
        <v>29</v>
      </c>
      <c r="K18">
        <v>106</v>
      </c>
      <c r="L18">
        <v>89</v>
      </c>
      <c r="M18">
        <v>1</v>
      </c>
      <c r="N18">
        <v>3</v>
      </c>
      <c r="O18">
        <v>397</v>
      </c>
      <c r="P18">
        <v>313</v>
      </c>
      <c r="Q18">
        <v>311</v>
      </c>
      <c r="R18">
        <v>301</v>
      </c>
      <c r="S18">
        <v>1309</v>
      </c>
      <c r="T18">
        <v>410</v>
      </c>
      <c r="U18">
        <v>899</v>
      </c>
      <c r="V18">
        <v>612</v>
      </c>
      <c r="W18">
        <v>349</v>
      </c>
      <c r="X18">
        <v>136</v>
      </c>
      <c r="Y18">
        <v>456</v>
      </c>
      <c r="Z18">
        <v>213</v>
      </c>
      <c r="AA18">
        <v>44</v>
      </c>
      <c r="AB18" t="s">
        <v>84</v>
      </c>
      <c r="AC18" t="s">
        <v>166</v>
      </c>
      <c r="AD18" t="s">
        <v>219</v>
      </c>
    </row>
    <row r="19" spans="1:30">
      <c r="A19" t="s">
        <v>218</v>
      </c>
      <c r="B19" s="16">
        <v>44562</v>
      </c>
      <c r="C19" s="394"/>
      <c r="D19" t="s">
        <v>58</v>
      </c>
      <c r="E19">
        <v>5631</v>
      </c>
      <c r="F19">
        <v>414</v>
      </c>
      <c r="G19">
        <v>386</v>
      </c>
      <c r="H19">
        <v>236</v>
      </c>
      <c r="I19">
        <v>315</v>
      </c>
      <c r="J19">
        <v>52</v>
      </c>
      <c r="K19">
        <v>74</v>
      </c>
      <c r="L19">
        <v>49</v>
      </c>
      <c r="O19">
        <v>357</v>
      </c>
      <c r="P19">
        <v>342</v>
      </c>
      <c r="Q19">
        <v>206</v>
      </c>
      <c r="R19">
        <v>201</v>
      </c>
      <c r="S19">
        <v>699</v>
      </c>
      <c r="T19">
        <v>385</v>
      </c>
      <c r="U19">
        <v>314</v>
      </c>
      <c r="V19">
        <v>158</v>
      </c>
      <c r="W19">
        <v>218</v>
      </c>
      <c r="X19">
        <v>107</v>
      </c>
      <c r="Y19">
        <v>322</v>
      </c>
      <c r="Z19">
        <v>127</v>
      </c>
      <c r="AA19">
        <v>14</v>
      </c>
      <c r="AB19" t="s">
        <v>67</v>
      </c>
      <c r="AC19" t="s">
        <v>148</v>
      </c>
      <c r="AD19" t="s">
        <v>49</v>
      </c>
    </row>
    <row r="20" spans="1:30">
      <c r="A20" t="s">
        <v>218</v>
      </c>
      <c r="B20" s="16">
        <v>44562</v>
      </c>
      <c r="C20" s="394"/>
      <c r="D20" t="s">
        <v>59</v>
      </c>
      <c r="E20">
        <v>11865</v>
      </c>
      <c r="F20">
        <v>879</v>
      </c>
      <c r="G20">
        <v>837</v>
      </c>
      <c r="H20">
        <v>592</v>
      </c>
      <c r="I20">
        <v>705</v>
      </c>
      <c r="J20">
        <v>73</v>
      </c>
      <c r="K20">
        <v>111</v>
      </c>
      <c r="L20">
        <v>76</v>
      </c>
      <c r="M20">
        <v>43</v>
      </c>
      <c r="N20">
        <v>24</v>
      </c>
      <c r="O20">
        <v>584</v>
      </c>
      <c r="P20">
        <v>368</v>
      </c>
      <c r="Q20">
        <v>343</v>
      </c>
      <c r="R20">
        <v>332</v>
      </c>
      <c r="S20">
        <v>1492</v>
      </c>
      <c r="T20">
        <v>564</v>
      </c>
      <c r="U20">
        <v>928</v>
      </c>
      <c r="V20">
        <v>526</v>
      </c>
      <c r="W20">
        <v>579</v>
      </c>
      <c r="X20">
        <v>221</v>
      </c>
      <c r="Y20">
        <v>510</v>
      </c>
      <c r="Z20">
        <v>235</v>
      </c>
      <c r="AA20">
        <v>4</v>
      </c>
      <c r="AB20" t="s">
        <v>77</v>
      </c>
      <c r="AC20" t="s">
        <v>158</v>
      </c>
      <c r="AD20" t="s">
        <v>51</v>
      </c>
    </row>
    <row r="21" spans="1:30">
      <c r="A21" t="s">
        <v>218</v>
      </c>
      <c r="B21" s="16">
        <v>44562</v>
      </c>
      <c r="C21" s="394"/>
      <c r="D21" t="s">
        <v>57</v>
      </c>
      <c r="E21">
        <v>4091</v>
      </c>
      <c r="F21">
        <v>368</v>
      </c>
      <c r="G21">
        <v>356</v>
      </c>
      <c r="H21">
        <v>204</v>
      </c>
      <c r="I21">
        <v>261</v>
      </c>
      <c r="J21">
        <v>33</v>
      </c>
      <c r="K21">
        <v>59</v>
      </c>
      <c r="L21">
        <v>38</v>
      </c>
      <c r="M21">
        <v>8</v>
      </c>
      <c r="N21">
        <v>1</v>
      </c>
      <c r="O21">
        <v>203</v>
      </c>
      <c r="P21">
        <v>113</v>
      </c>
      <c r="Q21">
        <v>104</v>
      </c>
      <c r="R21">
        <v>110</v>
      </c>
      <c r="S21">
        <v>775</v>
      </c>
      <c r="T21">
        <v>223</v>
      </c>
      <c r="U21">
        <v>552</v>
      </c>
      <c r="V21">
        <v>302</v>
      </c>
      <c r="W21">
        <v>191</v>
      </c>
      <c r="X21">
        <v>89</v>
      </c>
      <c r="Y21">
        <v>250</v>
      </c>
      <c r="Z21">
        <v>93</v>
      </c>
      <c r="AA21">
        <v>5</v>
      </c>
      <c r="AB21" t="s">
        <v>67</v>
      </c>
      <c r="AC21" t="s">
        <v>148</v>
      </c>
      <c r="AD21" t="s">
        <v>48</v>
      </c>
    </row>
    <row r="22" spans="1:30">
      <c r="A22" t="s">
        <v>218</v>
      </c>
      <c r="B22" s="16">
        <v>44593</v>
      </c>
      <c r="C22" s="394"/>
      <c r="D22" t="s">
        <v>56</v>
      </c>
      <c r="E22">
        <v>12393</v>
      </c>
      <c r="F22">
        <v>683</v>
      </c>
      <c r="G22">
        <v>635</v>
      </c>
      <c r="H22">
        <v>393</v>
      </c>
      <c r="I22">
        <v>331</v>
      </c>
      <c r="J22">
        <v>37</v>
      </c>
      <c r="K22">
        <v>158</v>
      </c>
      <c r="L22">
        <v>125</v>
      </c>
      <c r="M22">
        <v>95</v>
      </c>
      <c r="N22">
        <v>90</v>
      </c>
      <c r="O22">
        <v>746</v>
      </c>
      <c r="P22">
        <v>448</v>
      </c>
      <c r="Q22">
        <v>429</v>
      </c>
      <c r="R22">
        <v>442</v>
      </c>
      <c r="S22">
        <v>1943</v>
      </c>
      <c r="T22">
        <v>506</v>
      </c>
      <c r="U22">
        <v>1437</v>
      </c>
      <c r="V22">
        <v>874</v>
      </c>
      <c r="W22">
        <v>544</v>
      </c>
      <c r="X22">
        <v>279</v>
      </c>
      <c r="Y22">
        <v>809</v>
      </c>
      <c r="Z22">
        <v>416</v>
      </c>
      <c r="AA22">
        <v>1</v>
      </c>
      <c r="AB22" t="s">
        <v>74</v>
      </c>
      <c r="AC22" t="s">
        <v>154</v>
      </c>
      <c r="AD22" t="s">
        <v>50</v>
      </c>
    </row>
    <row r="23" spans="1:30">
      <c r="A23" t="s">
        <v>218</v>
      </c>
      <c r="B23" s="16">
        <v>44593</v>
      </c>
      <c r="C23" s="394"/>
      <c r="D23" t="s">
        <v>63</v>
      </c>
      <c r="E23">
        <v>7763</v>
      </c>
      <c r="F23">
        <v>676</v>
      </c>
      <c r="G23">
        <v>625</v>
      </c>
      <c r="H23">
        <v>280</v>
      </c>
      <c r="I23">
        <v>446</v>
      </c>
      <c r="J23">
        <v>27</v>
      </c>
      <c r="K23">
        <v>106</v>
      </c>
      <c r="L23">
        <v>87</v>
      </c>
      <c r="M23">
        <v>1</v>
      </c>
      <c r="N23">
        <v>3</v>
      </c>
      <c r="O23">
        <v>396</v>
      </c>
      <c r="P23">
        <v>315</v>
      </c>
      <c r="Q23">
        <v>312</v>
      </c>
      <c r="R23">
        <v>305</v>
      </c>
      <c r="S23">
        <v>1310</v>
      </c>
      <c r="T23">
        <v>410</v>
      </c>
      <c r="U23">
        <v>900</v>
      </c>
      <c r="V23">
        <v>629</v>
      </c>
      <c r="W23">
        <v>355</v>
      </c>
      <c r="X23">
        <v>140</v>
      </c>
      <c r="Y23">
        <v>458</v>
      </c>
      <c r="Z23">
        <v>217</v>
      </c>
      <c r="AA23">
        <v>35</v>
      </c>
      <c r="AB23" t="s">
        <v>84</v>
      </c>
      <c r="AC23" t="s">
        <v>166</v>
      </c>
      <c r="AD23" t="s">
        <v>219</v>
      </c>
    </row>
    <row r="24" spans="1:30">
      <c r="A24" t="s">
        <v>218</v>
      </c>
      <c r="B24" s="16">
        <v>44593</v>
      </c>
      <c r="C24" s="394"/>
      <c r="D24" t="s">
        <v>58</v>
      </c>
      <c r="E24">
        <v>5585</v>
      </c>
      <c r="F24">
        <v>411</v>
      </c>
      <c r="G24">
        <v>384</v>
      </c>
      <c r="H24">
        <v>237</v>
      </c>
      <c r="I24">
        <v>305</v>
      </c>
      <c r="J24">
        <v>52</v>
      </c>
      <c r="K24">
        <v>71</v>
      </c>
      <c r="L24">
        <v>49</v>
      </c>
      <c r="O24">
        <v>351</v>
      </c>
      <c r="P24">
        <v>334</v>
      </c>
      <c r="Q24">
        <v>208</v>
      </c>
      <c r="R24">
        <v>202</v>
      </c>
      <c r="S24">
        <v>698</v>
      </c>
      <c r="T24">
        <v>382</v>
      </c>
      <c r="U24">
        <v>316</v>
      </c>
      <c r="V24">
        <v>161</v>
      </c>
      <c r="W24">
        <v>217</v>
      </c>
      <c r="X24">
        <v>105</v>
      </c>
      <c r="Y24">
        <v>324</v>
      </c>
      <c r="Z24">
        <v>130</v>
      </c>
      <c r="AA24">
        <v>14</v>
      </c>
      <c r="AB24" t="s">
        <v>67</v>
      </c>
      <c r="AC24" t="s">
        <v>148</v>
      </c>
      <c r="AD24" t="s">
        <v>49</v>
      </c>
    </row>
    <row r="25" spans="1:30">
      <c r="A25" t="s">
        <v>218</v>
      </c>
      <c r="B25" s="16">
        <v>44593</v>
      </c>
      <c r="C25" s="394"/>
      <c r="D25" t="s">
        <v>59</v>
      </c>
      <c r="E25">
        <v>11862</v>
      </c>
      <c r="F25">
        <v>877</v>
      </c>
      <c r="G25">
        <v>835</v>
      </c>
      <c r="H25">
        <v>646</v>
      </c>
      <c r="I25">
        <v>703</v>
      </c>
      <c r="J25">
        <v>79</v>
      </c>
      <c r="K25">
        <v>113</v>
      </c>
      <c r="L25">
        <v>66</v>
      </c>
      <c r="M25">
        <v>35</v>
      </c>
      <c r="N25">
        <v>31</v>
      </c>
      <c r="O25">
        <v>578</v>
      </c>
      <c r="P25">
        <v>354</v>
      </c>
      <c r="Q25">
        <v>345</v>
      </c>
      <c r="R25">
        <v>318</v>
      </c>
      <c r="S25">
        <v>1485</v>
      </c>
      <c r="T25">
        <v>595</v>
      </c>
      <c r="U25">
        <v>890</v>
      </c>
      <c r="V25">
        <v>530</v>
      </c>
      <c r="W25">
        <v>577</v>
      </c>
      <c r="X25">
        <v>222</v>
      </c>
      <c r="Y25">
        <v>505</v>
      </c>
      <c r="Z25">
        <v>235</v>
      </c>
      <c r="AA25">
        <v>4</v>
      </c>
      <c r="AB25" t="s">
        <v>77</v>
      </c>
      <c r="AC25" t="s">
        <v>158</v>
      </c>
      <c r="AD25" t="s">
        <v>51</v>
      </c>
    </row>
    <row r="26" spans="1:30">
      <c r="A26" t="s">
        <v>218</v>
      </c>
      <c r="B26" s="16">
        <v>44593</v>
      </c>
      <c r="C26" s="394"/>
      <c r="D26" t="s">
        <v>57</v>
      </c>
      <c r="E26">
        <v>4085</v>
      </c>
      <c r="F26">
        <v>372</v>
      </c>
      <c r="G26">
        <v>360</v>
      </c>
      <c r="H26">
        <v>216</v>
      </c>
      <c r="I26">
        <v>264</v>
      </c>
      <c r="J26">
        <v>35</v>
      </c>
      <c r="K26">
        <v>58</v>
      </c>
      <c r="L26">
        <v>30</v>
      </c>
      <c r="M26">
        <v>1</v>
      </c>
      <c r="O26">
        <v>207</v>
      </c>
      <c r="P26">
        <v>115</v>
      </c>
      <c r="Q26">
        <v>109</v>
      </c>
      <c r="R26">
        <v>112</v>
      </c>
      <c r="S26">
        <v>774</v>
      </c>
      <c r="T26">
        <v>256</v>
      </c>
      <c r="U26">
        <v>518</v>
      </c>
      <c r="V26">
        <v>343</v>
      </c>
      <c r="W26">
        <v>192</v>
      </c>
      <c r="X26">
        <v>92</v>
      </c>
      <c r="Y26">
        <v>256</v>
      </c>
      <c r="Z26">
        <v>96</v>
      </c>
      <c r="AA26">
        <v>6</v>
      </c>
      <c r="AB26" t="s">
        <v>67</v>
      </c>
      <c r="AC26" t="s">
        <v>148</v>
      </c>
      <c r="AD26" t="s">
        <v>48</v>
      </c>
    </row>
    <row r="27" spans="1:30">
      <c r="A27" t="s">
        <v>218</v>
      </c>
      <c r="B27" s="16">
        <v>44621</v>
      </c>
      <c r="C27" s="394"/>
      <c r="D27" t="s">
        <v>56</v>
      </c>
      <c r="E27">
        <v>12416</v>
      </c>
      <c r="F27">
        <v>694</v>
      </c>
      <c r="G27">
        <v>645</v>
      </c>
      <c r="H27">
        <v>413</v>
      </c>
      <c r="I27">
        <v>323</v>
      </c>
      <c r="J27">
        <v>42</v>
      </c>
      <c r="K27">
        <v>160</v>
      </c>
      <c r="L27">
        <v>133</v>
      </c>
      <c r="M27">
        <v>106</v>
      </c>
      <c r="N27">
        <v>98</v>
      </c>
      <c r="O27">
        <v>752</v>
      </c>
      <c r="P27">
        <v>468</v>
      </c>
      <c r="Q27">
        <v>447</v>
      </c>
      <c r="R27">
        <v>461</v>
      </c>
      <c r="S27">
        <v>1954</v>
      </c>
      <c r="T27">
        <v>510</v>
      </c>
      <c r="U27">
        <v>1444</v>
      </c>
      <c r="V27">
        <v>901</v>
      </c>
      <c r="W27">
        <v>547</v>
      </c>
      <c r="X27">
        <v>282</v>
      </c>
      <c r="Y27">
        <v>809</v>
      </c>
      <c r="Z27">
        <v>413</v>
      </c>
      <c r="AA27">
        <v>1</v>
      </c>
      <c r="AB27" t="s">
        <v>74</v>
      </c>
      <c r="AC27" t="s">
        <v>154</v>
      </c>
      <c r="AD27" t="s">
        <v>50</v>
      </c>
    </row>
    <row r="28" spans="1:30">
      <c r="A28" t="s">
        <v>218</v>
      </c>
      <c r="B28" s="16">
        <v>44621</v>
      </c>
      <c r="C28" s="394"/>
      <c r="D28" t="s">
        <v>63</v>
      </c>
      <c r="E28">
        <v>7752</v>
      </c>
      <c r="F28">
        <v>674</v>
      </c>
      <c r="G28">
        <v>624</v>
      </c>
      <c r="H28">
        <v>304</v>
      </c>
      <c r="I28">
        <v>442</v>
      </c>
      <c r="J28">
        <v>31</v>
      </c>
      <c r="K28">
        <v>106</v>
      </c>
      <c r="L28">
        <v>85</v>
      </c>
      <c r="M28">
        <v>1</v>
      </c>
      <c r="N28">
        <v>3</v>
      </c>
      <c r="O28">
        <v>405</v>
      </c>
      <c r="P28">
        <v>292</v>
      </c>
      <c r="Q28">
        <v>288</v>
      </c>
      <c r="R28">
        <v>285</v>
      </c>
      <c r="S28">
        <v>1314</v>
      </c>
      <c r="T28">
        <v>412</v>
      </c>
      <c r="U28">
        <v>902</v>
      </c>
      <c r="V28">
        <v>629</v>
      </c>
      <c r="W28">
        <v>360</v>
      </c>
      <c r="X28">
        <v>143</v>
      </c>
      <c r="Y28">
        <v>455</v>
      </c>
      <c r="Z28">
        <v>215</v>
      </c>
      <c r="AA28">
        <v>30</v>
      </c>
      <c r="AB28" t="s">
        <v>84</v>
      </c>
      <c r="AC28" t="s">
        <v>166</v>
      </c>
      <c r="AD28" t="s">
        <v>219</v>
      </c>
    </row>
    <row r="29" spans="1:30">
      <c r="A29" t="s">
        <v>218</v>
      </c>
      <c r="B29" s="16">
        <v>44621</v>
      </c>
      <c r="C29" s="394"/>
      <c r="D29" t="s">
        <v>58</v>
      </c>
      <c r="E29">
        <v>5587</v>
      </c>
      <c r="F29">
        <v>414</v>
      </c>
      <c r="G29">
        <v>387</v>
      </c>
      <c r="H29">
        <v>226</v>
      </c>
      <c r="I29">
        <v>285</v>
      </c>
      <c r="J29">
        <v>49</v>
      </c>
      <c r="K29">
        <v>70</v>
      </c>
      <c r="L29">
        <v>52</v>
      </c>
      <c r="O29">
        <v>353</v>
      </c>
      <c r="P29">
        <v>335</v>
      </c>
      <c r="Q29">
        <v>232</v>
      </c>
      <c r="R29">
        <v>228</v>
      </c>
      <c r="S29">
        <v>696</v>
      </c>
      <c r="T29">
        <v>375</v>
      </c>
      <c r="U29">
        <v>321</v>
      </c>
      <c r="V29">
        <v>163</v>
      </c>
      <c r="W29">
        <v>215</v>
      </c>
      <c r="X29">
        <v>106</v>
      </c>
      <c r="Y29">
        <v>326</v>
      </c>
      <c r="Z29">
        <v>134</v>
      </c>
      <c r="AB29" t="s">
        <v>67</v>
      </c>
      <c r="AC29" t="s">
        <v>148</v>
      </c>
      <c r="AD29" t="s">
        <v>49</v>
      </c>
    </row>
    <row r="30" spans="1:30">
      <c r="A30" t="s">
        <v>218</v>
      </c>
      <c r="B30" s="16">
        <v>44621</v>
      </c>
      <c r="C30" s="394"/>
      <c r="D30" t="s">
        <v>59</v>
      </c>
      <c r="E30">
        <v>11782</v>
      </c>
      <c r="F30">
        <v>868</v>
      </c>
      <c r="G30">
        <v>828</v>
      </c>
      <c r="H30">
        <v>609</v>
      </c>
      <c r="I30">
        <v>691</v>
      </c>
      <c r="J30">
        <v>73</v>
      </c>
      <c r="K30">
        <v>115</v>
      </c>
      <c r="L30">
        <v>73</v>
      </c>
      <c r="M30">
        <v>22</v>
      </c>
      <c r="N30">
        <v>52</v>
      </c>
      <c r="O30">
        <v>573</v>
      </c>
      <c r="P30">
        <v>373</v>
      </c>
      <c r="Q30">
        <v>365</v>
      </c>
      <c r="R30">
        <v>340</v>
      </c>
      <c r="S30">
        <v>1486</v>
      </c>
      <c r="T30">
        <v>631</v>
      </c>
      <c r="U30">
        <v>855</v>
      </c>
      <c r="V30">
        <v>506</v>
      </c>
      <c r="W30">
        <v>580</v>
      </c>
      <c r="X30">
        <v>222</v>
      </c>
      <c r="Y30">
        <v>507</v>
      </c>
      <c r="Z30">
        <v>235</v>
      </c>
      <c r="AA30">
        <v>4</v>
      </c>
      <c r="AB30" t="s">
        <v>77</v>
      </c>
      <c r="AC30" t="s">
        <v>158</v>
      </c>
      <c r="AD30" t="s">
        <v>51</v>
      </c>
    </row>
    <row r="31" spans="1:30">
      <c r="A31" t="s">
        <v>218</v>
      </c>
      <c r="B31" s="16">
        <v>44621</v>
      </c>
      <c r="C31" s="394"/>
      <c r="D31" t="s">
        <v>57</v>
      </c>
      <c r="E31">
        <v>4067</v>
      </c>
      <c r="F31">
        <v>373</v>
      </c>
      <c r="G31">
        <v>361</v>
      </c>
      <c r="H31">
        <v>214</v>
      </c>
      <c r="I31">
        <v>267</v>
      </c>
      <c r="J31">
        <v>36</v>
      </c>
      <c r="K31">
        <v>58</v>
      </c>
      <c r="L31">
        <v>29</v>
      </c>
      <c r="M31">
        <v>1</v>
      </c>
      <c r="O31">
        <v>206</v>
      </c>
      <c r="P31">
        <v>100</v>
      </c>
      <c r="Q31">
        <v>95</v>
      </c>
      <c r="R31">
        <v>98</v>
      </c>
      <c r="S31">
        <v>775</v>
      </c>
      <c r="T31">
        <v>243</v>
      </c>
      <c r="U31">
        <v>532</v>
      </c>
      <c r="V31">
        <v>343</v>
      </c>
      <c r="W31">
        <v>194</v>
      </c>
      <c r="X31">
        <v>93</v>
      </c>
      <c r="Y31">
        <v>257</v>
      </c>
      <c r="Z31">
        <v>97</v>
      </c>
      <c r="AA31">
        <v>1</v>
      </c>
      <c r="AB31" t="s">
        <v>67</v>
      </c>
      <c r="AC31" t="s">
        <v>148</v>
      </c>
      <c r="AD31" t="s">
        <v>48</v>
      </c>
    </row>
    <row r="32" spans="1:30">
      <c r="A32" t="s">
        <v>218</v>
      </c>
      <c r="B32" s="16">
        <v>44652</v>
      </c>
      <c r="C32" s="394"/>
      <c r="D32" t="s">
        <v>56</v>
      </c>
      <c r="E32">
        <v>12435</v>
      </c>
      <c r="F32">
        <v>705</v>
      </c>
      <c r="G32">
        <v>652</v>
      </c>
      <c r="H32">
        <v>441</v>
      </c>
      <c r="I32">
        <v>316</v>
      </c>
      <c r="J32">
        <v>39</v>
      </c>
      <c r="K32">
        <v>161</v>
      </c>
      <c r="L32">
        <v>140</v>
      </c>
      <c r="M32">
        <v>117</v>
      </c>
      <c r="N32">
        <v>106</v>
      </c>
      <c r="O32">
        <v>756</v>
      </c>
      <c r="P32">
        <v>482</v>
      </c>
      <c r="Q32">
        <v>455</v>
      </c>
      <c r="R32">
        <v>476</v>
      </c>
      <c r="S32">
        <v>1975</v>
      </c>
      <c r="T32">
        <v>511</v>
      </c>
      <c r="U32">
        <v>1464</v>
      </c>
      <c r="V32">
        <v>920</v>
      </c>
      <c r="W32">
        <v>545</v>
      </c>
      <c r="X32">
        <v>283</v>
      </c>
      <c r="Y32">
        <v>820</v>
      </c>
      <c r="Z32">
        <v>430</v>
      </c>
      <c r="AA32">
        <v>2</v>
      </c>
      <c r="AB32" t="s">
        <v>74</v>
      </c>
      <c r="AC32" t="s">
        <v>154</v>
      </c>
      <c r="AD32" t="s">
        <v>50</v>
      </c>
    </row>
    <row r="33" spans="1:30">
      <c r="A33" t="s">
        <v>218</v>
      </c>
      <c r="B33" s="16">
        <v>44652</v>
      </c>
      <c r="C33" s="394"/>
      <c r="D33" t="s">
        <v>63</v>
      </c>
      <c r="E33">
        <v>7767</v>
      </c>
      <c r="F33">
        <v>676</v>
      </c>
      <c r="G33">
        <v>627</v>
      </c>
      <c r="H33">
        <v>330</v>
      </c>
      <c r="I33">
        <v>439</v>
      </c>
      <c r="J33">
        <v>31</v>
      </c>
      <c r="K33">
        <v>102</v>
      </c>
      <c r="L33">
        <v>72</v>
      </c>
      <c r="M33">
        <v>1</v>
      </c>
      <c r="N33">
        <v>1</v>
      </c>
      <c r="O33">
        <v>402</v>
      </c>
      <c r="P33">
        <v>251</v>
      </c>
      <c r="Q33">
        <v>247</v>
      </c>
      <c r="R33">
        <v>239</v>
      </c>
      <c r="S33">
        <v>1324</v>
      </c>
      <c r="T33">
        <v>401</v>
      </c>
      <c r="U33">
        <v>923</v>
      </c>
      <c r="V33">
        <v>637</v>
      </c>
      <c r="W33">
        <v>359</v>
      </c>
      <c r="X33">
        <v>141</v>
      </c>
      <c r="Y33">
        <v>461</v>
      </c>
      <c r="Z33">
        <v>219</v>
      </c>
      <c r="AB33" t="s">
        <v>84</v>
      </c>
      <c r="AC33" t="s">
        <v>166</v>
      </c>
      <c r="AD33" t="s">
        <v>219</v>
      </c>
    </row>
    <row r="34" spans="1:30">
      <c r="A34" t="s">
        <v>218</v>
      </c>
      <c r="B34" s="16">
        <v>44652</v>
      </c>
      <c r="C34" s="394"/>
      <c r="D34" t="s">
        <v>58</v>
      </c>
      <c r="E34">
        <v>5585</v>
      </c>
      <c r="F34">
        <v>410</v>
      </c>
      <c r="G34">
        <v>383</v>
      </c>
      <c r="H34">
        <v>221</v>
      </c>
      <c r="I34">
        <v>281</v>
      </c>
      <c r="J34">
        <v>51</v>
      </c>
      <c r="K34">
        <v>70</v>
      </c>
      <c r="L34">
        <v>50</v>
      </c>
      <c r="O34">
        <v>356</v>
      </c>
      <c r="P34">
        <v>340</v>
      </c>
      <c r="Q34">
        <v>251</v>
      </c>
      <c r="R34">
        <v>248</v>
      </c>
      <c r="S34">
        <v>692</v>
      </c>
      <c r="T34">
        <v>357</v>
      </c>
      <c r="U34">
        <v>335</v>
      </c>
      <c r="V34">
        <v>163</v>
      </c>
      <c r="W34">
        <v>212</v>
      </c>
      <c r="X34">
        <v>104</v>
      </c>
      <c r="Y34">
        <v>323</v>
      </c>
      <c r="Z34">
        <v>129</v>
      </c>
      <c r="AB34" t="s">
        <v>67</v>
      </c>
      <c r="AC34" t="s">
        <v>148</v>
      </c>
      <c r="AD34" t="s">
        <v>49</v>
      </c>
    </row>
    <row r="35" spans="1:30">
      <c r="A35" t="s">
        <v>218</v>
      </c>
      <c r="B35" s="16">
        <v>44652</v>
      </c>
      <c r="C35" s="394"/>
      <c r="D35" t="s">
        <v>59</v>
      </c>
      <c r="E35">
        <v>11775</v>
      </c>
      <c r="F35">
        <v>869</v>
      </c>
      <c r="G35">
        <v>827</v>
      </c>
      <c r="H35">
        <v>630</v>
      </c>
      <c r="I35">
        <v>682</v>
      </c>
      <c r="J35">
        <v>75</v>
      </c>
      <c r="K35">
        <v>116</v>
      </c>
      <c r="L35">
        <v>84</v>
      </c>
      <c r="M35">
        <v>20</v>
      </c>
      <c r="N35">
        <v>63</v>
      </c>
      <c r="O35">
        <v>576</v>
      </c>
      <c r="P35">
        <v>442</v>
      </c>
      <c r="Q35">
        <v>436</v>
      </c>
      <c r="R35">
        <v>435</v>
      </c>
      <c r="S35">
        <v>1480</v>
      </c>
      <c r="T35">
        <v>655</v>
      </c>
      <c r="U35">
        <v>825</v>
      </c>
      <c r="V35">
        <v>513</v>
      </c>
      <c r="W35">
        <v>578</v>
      </c>
      <c r="X35">
        <v>220</v>
      </c>
      <c r="Y35">
        <v>514</v>
      </c>
      <c r="Z35">
        <v>238</v>
      </c>
      <c r="AA35">
        <v>3</v>
      </c>
      <c r="AB35" t="s">
        <v>77</v>
      </c>
      <c r="AC35" t="s">
        <v>158</v>
      </c>
      <c r="AD35" t="s">
        <v>51</v>
      </c>
    </row>
    <row r="36" spans="1:30">
      <c r="A36" t="s">
        <v>218</v>
      </c>
      <c r="B36" s="16">
        <v>44652</v>
      </c>
      <c r="C36" s="394"/>
      <c r="D36" t="s">
        <v>57</v>
      </c>
      <c r="E36">
        <v>4056</v>
      </c>
      <c r="F36">
        <v>377</v>
      </c>
      <c r="G36">
        <v>364</v>
      </c>
      <c r="H36">
        <v>240</v>
      </c>
      <c r="I36">
        <v>271</v>
      </c>
      <c r="J36">
        <v>41</v>
      </c>
      <c r="K36">
        <v>71</v>
      </c>
      <c r="L36">
        <v>66</v>
      </c>
      <c r="M36">
        <v>5</v>
      </c>
      <c r="O36">
        <v>213</v>
      </c>
      <c r="P36">
        <v>137</v>
      </c>
      <c r="Q36">
        <v>135</v>
      </c>
      <c r="R36">
        <v>136</v>
      </c>
      <c r="S36">
        <v>779</v>
      </c>
      <c r="T36">
        <v>290</v>
      </c>
      <c r="U36">
        <v>489</v>
      </c>
      <c r="V36">
        <v>340</v>
      </c>
      <c r="W36">
        <v>196</v>
      </c>
      <c r="X36">
        <v>96</v>
      </c>
      <c r="Y36">
        <v>258</v>
      </c>
      <c r="Z36">
        <v>97</v>
      </c>
      <c r="AA36">
        <v>1</v>
      </c>
      <c r="AB36" t="s">
        <v>67</v>
      </c>
      <c r="AC36" t="s">
        <v>148</v>
      </c>
      <c r="AD36" t="s">
        <v>48</v>
      </c>
    </row>
    <row r="37" spans="1:30">
      <c r="A37" t="s">
        <v>220</v>
      </c>
      <c r="B37" s="16">
        <v>44287</v>
      </c>
      <c r="C37" s="394">
        <v>44386</v>
      </c>
      <c r="D37" t="s">
        <v>94</v>
      </c>
      <c r="E37">
        <v>6207</v>
      </c>
      <c r="F37">
        <v>505</v>
      </c>
      <c r="G37">
        <v>475</v>
      </c>
      <c r="H37">
        <v>166</v>
      </c>
      <c r="I37">
        <v>336</v>
      </c>
      <c r="J37">
        <v>27</v>
      </c>
      <c r="K37">
        <v>90</v>
      </c>
      <c r="L37">
        <v>47</v>
      </c>
      <c r="M37">
        <v>22</v>
      </c>
      <c r="N37">
        <v>30</v>
      </c>
      <c r="O37">
        <v>337</v>
      </c>
      <c r="P37">
        <v>133</v>
      </c>
      <c r="Q37">
        <v>127</v>
      </c>
      <c r="R37">
        <v>124</v>
      </c>
      <c r="S37">
        <v>906</v>
      </c>
      <c r="T37">
        <v>276</v>
      </c>
      <c r="U37">
        <v>630</v>
      </c>
      <c r="V37">
        <v>58</v>
      </c>
      <c r="W37">
        <v>235</v>
      </c>
      <c r="X37">
        <v>102</v>
      </c>
      <c r="Y37">
        <v>307</v>
      </c>
      <c r="Z37">
        <v>131</v>
      </c>
      <c r="AA37">
        <v>14</v>
      </c>
      <c r="AB37" t="s">
        <v>97</v>
      </c>
      <c r="AC37" t="s">
        <v>179</v>
      </c>
      <c r="AD37" t="s">
        <v>176</v>
      </c>
    </row>
    <row r="38" spans="1:30">
      <c r="A38" t="s">
        <v>220</v>
      </c>
      <c r="B38" s="16">
        <v>44287</v>
      </c>
      <c r="C38" s="394">
        <v>44386</v>
      </c>
      <c r="D38" t="s">
        <v>56</v>
      </c>
      <c r="E38">
        <v>12516</v>
      </c>
      <c r="F38">
        <v>677</v>
      </c>
      <c r="G38">
        <v>634</v>
      </c>
      <c r="H38">
        <v>265</v>
      </c>
      <c r="I38">
        <v>441</v>
      </c>
      <c r="J38">
        <v>0</v>
      </c>
      <c r="K38">
        <v>159</v>
      </c>
      <c r="L38">
        <v>144</v>
      </c>
      <c r="M38">
        <v>94</v>
      </c>
      <c r="N38">
        <v>84</v>
      </c>
      <c r="O38">
        <v>751</v>
      </c>
      <c r="P38">
        <v>510</v>
      </c>
      <c r="Q38">
        <v>475</v>
      </c>
      <c r="R38">
        <v>474</v>
      </c>
      <c r="S38">
        <v>1955</v>
      </c>
      <c r="T38">
        <v>205</v>
      </c>
      <c r="U38">
        <v>1750</v>
      </c>
      <c r="V38">
        <v>984</v>
      </c>
      <c r="W38">
        <v>548</v>
      </c>
      <c r="X38">
        <v>272</v>
      </c>
      <c r="Y38">
        <v>813</v>
      </c>
      <c r="Z38">
        <v>412</v>
      </c>
      <c r="AA38">
        <v>412</v>
      </c>
      <c r="AB38" t="s">
        <v>74</v>
      </c>
      <c r="AC38" t="s">
        <v>154</v>
      </c>
      <c r="AD38" t="s">
        <v>50</v>
      </c>
    </row>
    <row r="39" spans="1:30">
      <c r="A39" t="s">
        <v>220</v>
      </c>
      <c r="B39" s="16">
        <v>44287</v>
      </c>
      <c r="C39" s="394">
        <v>44386</v>
      </c>
      <c r="D39" t="s">
        <v>61</v>
      </c>
      <c r="E39">
        <v>6950</v>
      </c>
      <c r="F39">
        <v>346</v>
      </c>
      <c r="G39">
        <v>318</v>
      </c>
      <c r="H39">
        <v>107</v>
      </c>
      <c r="I39">
        <v>226</v>
      </c>
      <c r="J39">
        <v>36</v>
      </c>
      <c r="K39">
        <v>111</v>
      </c>
      <c r="L39">
        <v>94</v>
      </c>
      <c r="M39">
        <v>35</v>
      </c>
      <c r="N39">
        <v>57</v>
      </c>
      <c r="O39">
        <v>348</v>
      </c>
      <c r="P39">
        <v>225</v>
      </c>
      <c r="Q39">
        <v>218</v>
      </c>
      <c r="R39">
        <v>209</v>
      </c>
      <c r="S39">
        <v>792</v>
      </c>
      <c r="T39">
        <v>423</v>
      </c>
      <c r="U39">
        <v>369</v>
      </c>
      <c r="V39">
        <v>74</v>
      </c>
      <c r="W39">
        <v>156</v>
      </c>
      <c r="X39">
        <v>82</v>
      </c>
      <c r="Y39">
        <v>265</v>
      </c>
      <c r="Z39">
        <v>135</v>
      </c>
      <c r="AA39">
        <v>21</v>
      </c>
      <c r="AB39" t="s">
        <v>67</v>
      </c>
      <c r="AC39" t="s">
        <v>148</v>
      </c>
      <c r="AD39" t="s">
        <v>143</v>
      </c>
    </row>
    <row r="40" spans="1:30">
      <c r="A40" t="s">
        <v>220</v>
      </c>
      <c r="B40" s="16">
        <v>44287</v>
      </c>
      <c r="C40" s="394">
        <v>44386</v>
      </c>
      <c r="D40" t="s">
        <v>98</v>
      </c>
      <c r="E40">
        <v>5179</v>
      </c>
      <c r="F40">
        <v>418</v>
      </c>
      <c r="G40">
        <v>398</v>
      </c>
      <c r="H40">
        <v>234</v>
      </c>
      <c r="I40">
        <v>276</v>
      </c>
      <c r="J40">
        <v>27</v>
      </c>
      <c r="K40">
        <v>57</v>
      </c>
      <c r="L40">
        <v>42</v>
      </c>
      <c r="M40">
        <v>24</v>
      </c>
      <c r="N40">
        <v>29</v>
      </c>
      <c r="O40">
        <v>241</v>
      </c>
      <c r="P40">
        <v>117</v>
      </c>
      <c r="Q40">
        <v>87</v>
      </c>
      <c r="R40">
        <v>89</v>
      </c>
      <c r="S40">
        <v>809</v>
      </c>
      <c r="T40">
        <v>337</v>
      </c>
      <c r="U40">
        <v>472</v>
      </c>
      <c r="V40">
        <v>105</v>
      </c>
      <c r="W40">
        <v>170</v>
      </c>
      <c r="X40">
        <v>92</v>
      </c>
      <c r="Y40">
        <v>290</v>
      </c>
      <c r="Z40">
        <v>136</v>
      </c>
      <c r="AA40">
        <v>5</v>
      </c>
      <c r="AB40" t="s">
        <v>103</v>
      </c>
      <c r="AC40" t="s">
        <v>185</v>
      </c>
      <c r="AD40" t="s">
        <v>180</v>
      </c>
    </row>
    <row r="41" spans="1:30">
      <c r="A41" t="s">
        <v>220</v>
      </c>
      <c r="B41" s="16">
        <v>44287</v>
      </c>
      <c r="C41" s="394">
        <v>44386</v>
      </c>
      <c r="D41" t="s">
        <v>75</v>
      </c>
      <c r="E41">
        <v>7752</v>
      </c>
      <c r="F41">
        <v>731</v>
      </c>
      <c r="G41">
        <v>694</v>
      </c>
      <c r="H41">
        <v>528</v>
      </c>
      <c r="I41">
        <v>343</v>
      </c>
      <c r="J41">
        <v>71</v>
      </c>
      <c r="K41">
        <v>101</v>
      </c>
      <c r="L41">
        <v>95</v>
      </c>
      <c r="M41">
        <v>91</v>
      </c>
      <c r="N41">
        <v>78</v>
      </c>
      <c r="O41">
        <v>334</v>
      </c>
      <c r="P41">
        <v>279</v>
      </c>
      <c r="Q41">
        <v>271</v>
      </c>
      <c r="R41">
        <v>271</v>
      </c>
      <c r="S41">
        <v>1144</v>
      </c>
      <c r="T41">
        <v>585</v>
      </c>
      <c r="U41">
        <v>559</v>
      </c>
      <c r="V41">
        <v>82</v>
      </c>
      <c r="W41">
        <v>350</v>
      </c>
      <c r="X41">
        <v>189</v>
      </c>
      <c r="Y41">
        <v>493</v>
      </c>
      <c r="Z41">
        <v>231</v>
      </c>
      <c r="AA41">
        <v>51</v>
      </c>
      <c r="AB41" t="s">
        <v>77</v>
      </c>
      <c r="AC41" t="s">
        <v>158</v>
      </c>
      <c r="AD41" t="s">
        <v>155</v>
      </c>
    </row>
    <row r="42" spans="1:30">
      <c r="A42" t="s">
        <v>220</v>
      </c>
      <c r="B42" s="16">
        <v>44287</v>
      </c>
      <c r="C42" s="394">
        <v>44386</v>
      </c>
      <c r="D42" t="s">
        <v>63</v>
      </c>
      <c r="E42">
        <v>7802</v>
      </c>
      <c r="F42">
        <v>670</v>
      </c>
      <c r="G42">
        <v>622</v>
      </c>
      <c r="H42">
        <v>139</v>
      </c>
      <c r="I42">
        <v>455</v>
      </c>
      <c r="J42">
        <v>0</v>
      </c>
      <c r="K42">
        <v>108</v>
      </c>
      <c r="L42">
        <v>89</v>
      </c>
      <c r="M42">
        <v>4</v>
      </c>
      <c r="N42">
        <v>3</v>
      </c>
      <c r="O42">
        <v>397</v>
      </c>
      <c r="P42">
        <v>278</v>
      </c>
      <c r="Q42">
        <v>273</v>
      </c>
      <c r="R42">
        <v>264</v>
      </c>
      <c r="S42">
        <v>1308</v>
      </c>
      <c r="T42">
        <v>218</v>
      </c>
      <c r="U42">
        <v>1090</v>
      </c>
      <c r="V42">
        <v>688</v>
      </c>
      <c r="W42">
        <v>345</v>
      </c>
      <c r="X42">
        <v>119</v>
      </c>
      <c r="Y42">
        <v>465</v>
      </c>
      <c r="Z42">
        <v>216</v>
      </c>
      <c r="AA42">
        <v>170</v>
      </c>
      <c r="AB42" t="s">
        <v>84</v>
      </c>
      <c r="AC42" t="s">
        <v>166</v>
      </c>
      <c r="AD42" t="s">
        <v>219</v>
      </c>
    </row>
    <row r="43" spans="1:30">
      <c r="A43" t="s">
        <v>220</v>
      </c>
      <c r="B43" s="16">
        <v>44287</v>
      </c>
      <c r="C43" s="394">
        <v>44386</v>
      </c>
      <c r="D43" t="s">
        <v>58</v>
      </c>
      <c r="E43">
        <v>5617</v>
      </c>
      <c r="F43">
        <v>409</v>
      </c>
      <c r="G43">
        <v>381</v>
      </c>
      <c r="H43">
        <v>259</v>
      </c>
      <c r="I43">
        <v>319</v>
      </c>
      <c r="J43">
        <v>1</v>
      </c>
      <c r="K43">
        <v>76</v>
      </c>
      <c r="L43">
        <v>72</v>
      </c>
      <c r="M43">
        <v>0</v>
      </c>
      <c r="N43">
        <v>0</v>
      </c>
      <c r="O43">
        <v>360</v>
      </c>
      <c r="P43">
        <v>284</v>
      </c>
      <c r="Q43">
        <v>274</v>
      </c>
      <c r="R43">
        <v>270</v>
      </c>
      <c r="S43">
        <v>718</v>
      </c>
      <c r="T43">
        <v>216</v>
      </c>
      <c r="U43">
        <v>502</v>
      </c>
      <c r="V43">
        <v>371</v>
      </c>
      <c r="W43">
        <v>220</v>
      </c>
      <c r="X43">
        <v>104</v>
      </c>
      <c r="Y43">
        <v>346</v>
      </c>
      <c r="Z43">
        <v>129</v>
      </c>
      <c r="AA43">
        <v>105</v>
      </c>
      <c r="AB43" t="s">
        <v>67</v>
      </c>
      <c r="AC43" t="s">
        <v>148</v>
      </c>
      <c r="AD43" t="s">
        <v>49</v>
      </c>
    </row>
    <row r="44" spans="1:30">
      <c r="A44" t="s">
        <v>220</v>
      </c>
      <c r="B44" s="16">
        <v>44287</v>
      </c>
      <c r="C44" s="394">
        <v>44386</v>
      </c>
      <c r="D44" t="s">
        <v>99</v>
      </c>
      <c r="E44">
        <v>6231</v>
      </c>
      <c r="F44">
        <v>552</v>
      </c>
      <c r="G44">
        <v>537</v>
      </c>
      <c r="H44">
        <v>473</v>
      </c>
      <c r="I44">
        <v>448</v>
      </c>
      <c r="J44">
        <v>134</v>
      </c>
      <c r="K44">
        <v>38</v>
      </c>
      <c r="L44">
        <v>13</v>
      </c>
      <c r="M44">
        <v>9</v>
      </c>
      <c r="N44">
        <v>11</v>
      </c>
      <c r="O44">
        <v>340</v>
      </c>
      <c r="P44">
        <v>258</v>
      </c>
      <c r="Q44">
        <v>201</v>
      </c>
      <c r="R44">
        <v>221</v>
      </c>
      <c r="S44">
        <v>708</v>
      </c>
      <c r="T44">
        <v>353</v>
      </c>
      <c r="U44">
        <v>355</v>
      </c>
      <c r="V44">
        <v>62</v>
      </c>
      <c r="W44">
        <v>204</v>
      </c>
      <c r="X44">
        <v>128</v>
      </c>
      <c r="Y44">
        <v>335</v>
      </c>
      <c r="Z44">
        <v>157</v>
      </c>
      <c r="AA44">
        <v>12</v>
      </c>
      <c r="AB44" t="s">
        <v>103</v>
      </c>
      <c r="AC44" t="s">
        <v>185</v>
      </c>
      <c r="AD44" t="s">
        <v>221</v>
      </c>
    </row>
    <row r="45" spans="1:30">
      <c r="A45" t="s">
        <v>220</v>
      </c>
      <c r="B45" s="16">
        <v>44287</v>
      </c>
      <c r="C45" s="394">
        <v>44386</v>
      </c>
      <c r="D45" t="s">
        <v>78</v>
      </c>
      <c r="E45">
        <v>12294</v>
      </c>
      <c r="F45">
        <v>791</v>
      </c>
      <c r="G45">
        <v>721</v>
      </c>
      <c r="H45">
        <v>219</v>
      </c>
      <c r="I45">
        <v>608</v>
      </c>
      <c r="J45">
        <v>50</v>
      </c>
      <c r="K45">
        <v>116</v>
      </c>
      <c r="L45">
        <v>77</v>
      </c>
      <c r="M45">
        <v>28</v>
      </c>
      <c r="N45">
        <v>43</v>
      </c>
      <c r="O45">
        <v>599</v>
      </c>
      <c r="P45">
        <v>206</v>
      </c>
      <c r="Q45">
        <v>153</v>
      </c>
      <c r="R45">
        <v>77</v>
      </c>
      <c r="S45">
        <v>1450</v>
      </c>
      <c r="T45">
        <v>323</v>
      </c>
      <c r="U45">
        <v>1127</v>
      </c>
      <c r="V45">
        <v>67</v>
      </c>
      <c r="W45">
        <v>346</v>
      </c>
      <c r="X45">
        <v>153</v>
      </c>
      <c r="Y45">
        <v>547</v>
      </c>
      <c r="Z45">
        <v>209</v>
      </c>
      <c r="AA45">
        <v>53</v>
      </c>
      <c r="AB45" t="s">
        <v>84</v>
      </c>
      <c r="AC45" t="s">
        <v>166</v>
      </c>
      <c r="AD45" t="s">
        <v>159</v>
      </c>
    </row>
    <row r="46" spans="1:30">
      <c r="A46" t="s">
        <v>220</v>
      </c>
      <c r="B46" s="16">
        <v>44287</v>
      </c>
      <c r="C46" s="394">
        <v>44386</v>
      </c>
      <c r="D46" t="s">
        <v>76</v>
      </c>
      <c r="E46">
        <v>8523</v>
      </c>
      <c r="F46">
        <v>790</v>
      </c>
      <c r="G46">
        <v>762</v>
      </c>
      <c r="H46">
        <v>559</v>
      </c>
      <c r="I46">
        <v>432</v>
      </c>
      <c r="J46">
        <v>66</v>
      </c>
      <c r="K46">
        <v>48</v>
      </c>
      <c r="L46">
        <v>45</v>
      </c>
      <c r="M46">
        <v>43</v>
      </c>
      <c r="N46">
        <v>33</v>
      </c>
      <c r="O46">
        <v>435</v>
      </c>
      <c r="P46">
        <v>367</v>
      </c>
      <c r="Q46">
        <v>363</v>
      </c>
      <c r="R46">
        <v>361</v>
      </c>
      <c r="S46">
        <v>1101</v>
      </c>
      <c r="T46">
        <v>468</v>
      </c>
      <c r="U46">
        <v>633</v>
      </c>
      <c r="V46">
        <v>128</v>
      </c>
      <c r="W46">
        <v>339</v>
      </c>
      <c r="X46">
        <v>177</v>
      </c>
      <c r="Y46">
        <v>439</v>
      </c>
      <c r="Z46">
        <v>191</v>
      </c>
      <c r="AA46">
        <v>65</v>
      </c>
      <c r="AB46" t="s">
        <v>77</v>
      </c>
      <c r="AC46" t="s">
        <v>158</v>
      </c>
      <c r="AD46" t="s">
        <v>156</v>
      </c>
    </row>
    <row r="47" spans="1:30">
      <c r="A47" t="s">
        <v>220</v>
      </c>
      <c r="B47" s="16">
        <v>44287</v>
      </c>
      <c r="C47" s="394">
        <v>44386</v>
      </c>
      <c r="D47" t="s">
        <v>79</v>
      </c>
      <c r="E47">
        <v>7953</v>
      </c>
      <c r="F47">
        <v>383</v>
      </c>
      <c r="G47">
        <v>352</v>
      </c>
      <c r="H47">
        <v>191</v>
      </c>
      <c r="I47">
        <v>171</v>
      </c>
      <c r="J47">
        <v>12</v>
      </c>
      <c r="K47">
        <v>33</v>
      </c>
      <c r="L47">
        <v>31</v>
      </c>
      <c r="M47">
        <v>26</v>
      </c>
      <c r="N47">
        <v>29</v>
      </c>
      <c r="O47">
        <v>329</v>
      </c>
      <c r="P47">
        <v>264</v>
      </c>
      <c r="Q47">
        <v>253</v>
      </c>
      <c r="R47">
        <v>88</v>
      </c>
      <c r="S47">
        <v>746</v>
      </c>
      <c r="T47">
        <v>239</v>
      </c>
      <c r="U47">
        <v>507</v>
      </c>
      <c r="V47">
        <v>69</v>
      </c>
      <c r="W47">
        <v>145</v>
      </c>
      <c r="X47">
        <v>85</v>
      </c>
      <c r="Y47">
        <v>245</v>
      </c>
      <c r="Z47">
        <v>134</v>
      </c>
      <c r="AA47">
        <v>28</v>
      </c>
      <c r="AB47" t="s">
        <v>84</v>
      </c>
      <c r="AC47" t="s">
        <v>166</v>
      </c>
      <c r="AD47" t="s">
        <v>160</v>
      </c>
    </row>
    <row r="48" spans="1:30">
      <c r="A48" t="s">
        <v>220</v>
      </c>
      <c r="B48" s="16">
        <v>44287</v>
      </c>
      <c r="C48" s="394">
        <v>44386</v>
      </c>
      <c r="D48" t="s">
        <v>86</v>
      </c>
      <c r="E48">
        <v>1656</v>
      </c>
      <c r="F48">
        <v>127</v>
      </c>
      <c r="G48">
        <v>124</v>
      </c>
      <c r="H48">
        <v>110</v>
      </c>
      <c r="I48">
        <v>105</v>
      </c>
      <c r="J48">
        <v>14</v>
      </c>
      <c r="K48">
        <v>21</v>
      </c>
      <c r="L48">
        <v>20</v>
      </c>
      <c r="M48">
        <v>14</v>
      </c>
      <c r="N48">
        <v>3</v>
      </c>
      <c r="O48">
        <v>86</v>
      </c>
      <c r="P48">
        <v>67</v>
      </c>
      <c r="Q48">
        <v>67</v>
      </c>
      <c r="R48">
        <v>66</v>
      </c>
      <c r="S48">
        <v>265</v>
      </c>
      <c r="T48">
        <v>110</v>
      </c>
      <c r="U48">
        <v>155</v>
      </c>
      <c r="V48">
        <v>25</v>
      </c>
      <c r="W48">
        <v>73</v>
      </c>
      <c r="X48">
        <v>30</v>
      </c>
      <c r="Y48">
        <v>76</v>
      </c>
      <c r="Z48">
        <v>22</v>
      </c>
      <c r="AA48">
        <v>11</v>
      </c>
      <c r="AB48" t="s">
        <v>91</v>
      </c>
      <c r="AC48" t="s">
        <v>173</v>
      </c>
      <c r="AD48" t="s">
        <v>168</v>
      </c>
    </row>
    <row r="49" spans="1:30">
      <c r="A49" t="s">
        <v>220</v>
      </c>
      <c r="B49" s="16">
        <v>44287</v>
      </c>
      <c r="C49" s="394">
        <v>44386</v>
      </c>
      <c r="D49" t="s">
        <v>102</v>
      </c>
      <c r="E49">
        <v>12221</v>
      </c>
      <c r="F49">
        <v>752</v>
      </c>
      <c r="G49">
        <v>702</v>
      </c>
      <c r="H49">
        <v>273</v>
      </c>
      <c r="I49">
        <v>566</v>
      </c>
      <c r="J49">
        <v>57</v>
      </c>
      <c r="K49">
        <v>103</v>
      </c>
      <c r="L49">
        <v>4</v>
      </c>
      <c r="M49">
        <v>0</v>
      </c>
      <c r="N49">
        <v>1</v>
      </c>
      <c r="O49">
        <v>555</v>
      </c>
      <c r="P49">
        <v>392</v>
      </c>
      <c r="Q49">
        <v>183</v>
      </c>
      <c r="R49">
        <v>31</v>
      </c>
      <c r="S49">
        <v>1445</v>
      </c>
      <c r="T49">
        <v>581</v>
      </c>
      <c r="U49">
        <v>864</v>
      </c>
      <c r="V49">
        <v>96</v>
      </c>
      <c r="W49">
        <v>329</v>
      </c>
      <c r="X49">
        <v>180</v>
      </c>
      <c r="Y49">
        <v>482</v>
      </c>
      <c r="Z49">
        <v>248</v>
      </c>
      <c r="AA49">
        <v>18</v>
      </c>
      <c r="AB49" t="s">
        <v>103</v>
      </c>
      <c r="AC49" t="s">
        <v>185</v>
      </c>
      <c r="AD49" t="s">
        <v>184</v>
      </c>
    </row>
    <row r="50" spans="1:30">
      <c r="A50" t="s">
        <v>220</v>
      </c>
      <c r="B50" s="16">
        <v>44287</v>
      </c>
      <c r="C50" s="394">
        <v>44386</v>
      </c>
      <c r="D50" t="s">
        <v>100</v>
      </c>
      <c r="E50">
        <v>5884</v>
      </c>
      <c r="F50">
        <v>451</v>
      </c>
      <c r="G50">
        <v>427</v>
      </c>
      <c r="H50">
        <v>140</v>
      </c>
      <c r="I50">
        <v>307</v>
      </c>
      <c r="J50">
        <v>45</v>
      </c>
      <c r="K50">
        <v>65</v>
      </c>
      <c r="L50">
        <v>19</v>
      </c>
      <c r="M50">
        <v>1</v>
      </c>
      <c r="N50">
        <v>4</v>
      </c>
      <c r="O50">
        <v>259</v>
      </c>
      <c r="P50">
        <v>121</v>
      </c>
      <c r="Q50">
        <v>71</v>
      </c>
      <c r="R50">
        <v>45</v>
      </c>
      <c r="S50">
        <v>819</v>
      </c>
      <c r="T50">
        <v>259</v>
      </c>
      <c r="U50">
        <v>560</v>
      </c>
      <c r="V50">
        <v>53</v>
      </c>
      <c r="W50">
        <v>202</v>
      </c>
      <c r="X50">
        <v>105</v>
      </c>
      <c r="Y50">
        <v>294</v>
      </c>
      <c r="Z50">
        <v>153</v>
      </c>
      <c r="AA50">
        <v>33</v>
      </c>
      <c r="AB50" t="s">
        <v>103</v>
      </c>
      <c r="AC50" t="s">
        <v>185</v>
      </c>
      <c r="AD50" t="s">
        <v>182</v>
      </c>
    </row>
    <row r="51" spans="1:30">
      <c r="A51" t="s">
        <v>220</v>
      </c>
      <c r="B51" s="16">
        <v>44287</v>
      </c>
      <c r="C51" s="394">
        <v>44386</v>
      </c>
      <c r="D51" t="s">
        <v>59</v>
      </c>
      <c r="E51">
        <v>11863</v>
      </c>
      <c r="F51">
        <v>859</v>
      </c>
      <c r="G51">
        <v>821</v>
      </c>
      <c r="H51">
        <v>664</v>
      </c>
      <c r="I51">
        <v>671</v>
      </c>
      <c r="J51">
        <v>2</v>
      </c>
      <c r="K51">
        <v>113</v>
      </c>
      <c r="L51">
        <v>106</v>
      </c>
      <c r="M51">
        <v>44</v>
      </c>
      <c r="N51">
        <v>73</v>
      </c>
      <c r="O51">
        <v>582</v>
      </c>
      <c r="P51">
        <v>371</v>
      </c>
      <c r="Q51">
        <v>356</v>
      </c>
      <c r="R51">
        <v>361</v>
      </c>
      <c r="S51">
        <v>1489</v>
      </c>
      <c r="T51">
        <v>524</v>
      </c>
      <c r="U51">
        <v>965</v>
      </c>
      <c r="V51">
        <v>678</v>
      </c>
      <c r="W51">
        <v>576</v>
      </c>
      <c r="X51">
        <v>208</v>
      </c>
      <c r="Y51">
        <v>527</v>
      </c>
      <c r="Z51">
        <v>247</v>
      </c>
      <c r="AA51">
        <v>246</v>
      </c>
      <c r="AB51" t="s">
        <v>77</v>
      </c>
      <c r="AC51" t="s">
        <v>158</v>
      </c>
      <c r="AD51" t="s">
        <v>51</v>
      </c>
    </row>
    <row r="52" spans="1:30">
      <c r="A52" t="s">
        <v>220</v>
      </c>
      <c r="B52" s="16">
        <v>44287</v>
      </c>
      <c r="C52" s="394">
        <v>44386</v>
      </c>
      <c r="D52" t="s">
        <v>71</v>
      </c>
      <c r="E52">
        <v>5732</v>
      </c>
      <c r="F52">
        <v>346</v>
      </c>
      <c r="G52">
        <v>318</v>
      </c>
      <c r="H52">
        <v>149</v>
      </c>
      <c r="I52">
        <v>213</v>
      </c>
      <c r="J52">
        <v>20</v>
      </c>
      <c r="K52">
        <v>74</v>
      </c>
      <c r="L52">
        <v>36</v>
      </c>
      <c r="M52">
        <v>7</v>
      </c>
      <c r="N52">
        <v>27</v>
      </c>
      <c r="O52">
        <v>330</v>
      </c>
      <c r="P52">
        <v>246</v>
      </c>
      <c r="Q52">
        <v>152</v>
      </c>
      <c r="R52">
        <v>100</v>
      </c>
      <c r="S52">
        <v>1104</v>
      </c>
      <c r="T52">
        <v>385</v>
      </c>
      <c r="U52">
        <v>719</v>
      </c>
      <c r="V52">
        <v>30</v>
      </c>
      <c r="W52">
        <v>284</v>
      </c>
      <c r="X52">
        <v>123</v>
      </c>
      <c r="Y52">
        <v>492</v>
      </c>
      <c r="Z52">
        <v>279</v>
      </c>
      <c r="AA52">
        <v>18</v>
      </c>
      <c r="AB52" t="s">
        <v>74</v>
      </c>
      <c r="AC52" t="s">
        <v>154</v>
      </c>
      <c r="AD52" t="s">
        <v>152</v>
      </c>
    </row>
    <row r="53" spans="1:30">
      <c r="A53" t="s">
        <v>220</v>
      </c>
      <c r="B53" s="16">
        <v>44287</v>
      </c>
      <c r="C53" s="394">
        <v>44386</v>
      </c>
      <c r="D53" t="s">
        <v>95</v>
      </c>
      <c r="E53">
        <v>4556</v>
      </c>
      <c r="F53">
        <v>304</v>
      </c>
      <c r="G53">
        <v>290</v>
      </c>
      <c r="H53">
        <v>47</v>
      </c>
      <c r="I53">
        <v>203</v>
      </c>
      <c r="J53">
        <v>1</v>
      </c>
      <c r="K53">
        <v>33</v>
      </c>
      <c r="L53">
        <v>11</v>
      </c>
      <c r="M53">
        <v>1</v>
      </c>
      <c r="N53">
        <v>5</v>
      </c>
      <c r="O53">
        <v>197</v>
      </c>
      <c r="P53">
        <v>6</v>
      </c>
      <c r="Q53">
        <v>4</v>
      </c>
      <c r="R53">
        <v>3</v>
      </c>
      <c r="S53">
        <v>500</v>
      </c>
      <c r="T53">
        <v>50</v>
      </c>
      <c r="U53">
        <v>450</v>
      </c>
      <c r="V53">
        <v>18</v>
      </c>
      <c r="W53">
        <v>135</v>
      </c>
      <c r="X53">
        <v>76</v>
      </c>
      <c r="Y53">
        <v>182</v>
      </c>
      <c r="Z53">
        <v>90</v>
      </c>
      <c r="AA53">
        <v>1</v>
      </c>
      <c r="AB53" t="s">
        <v>97</v>
      </c>
      <c r="AC53" t="s">
        <v>179</v>
      </c>
      <c r="AD53" t="s">
        <v>177</v>
      </c>
    </row>
    <row r="54" spans="1:30">
      <c r="A54" t="s">
        <v>220</v>
      </c>
      <c r="B54" s="16">
        <v>44287</v>
      </c>
      <c r="C54" s="394">
        <v>44386</v>
      </c>
      <c r="D54" t="s">
        <v>83</v>
      </c>
      <c r="E54">
        <v>3968</v>
      </c>
      <c r="F54">
        <v>359</v>
      </c>
      <c r="G54">
        <v>341</v>
      </c>
      <c r="H54">
        <v>27</v>
      </c>
      <c r="I54">
        <v>194</v>
      </c>
      <c r="J54">
        <v>18</v>
      </c>
      <c r="K54">
        <v>36</v>
      </c>
      <c r="L54">
        <v>11</v>
      </c>
      <c r="M54">
        <v>0</v>
      </c>
      <c r="N54">
        <v>0</v>
      </c>
      <c r="O54">
        <v>204</v>
      </c>
      <c r="P54">
        <v>63</v>
      </c>
      <c r="Q54">
        <v>30</v>
      </c>
      <c r="R54">
        <v>12</v>
      </c>
      <c r="S54">
        <v>655</v>
      </c>
      <c r="T54">
        <v>202</v>
      </c>
      <c r="U54">
        <v>453</v>
      </c>
      <c r="V54">
        <v>19</v>
      </c>
      <c r="W54">
        <v>130</v>
      </c>
      <c r="X54">
        <v>54</v>
      </c>
      <c r="Y54">
        <v>204</v>
      </c>
      <c r="Z54">
        <v>118</v>
      </c>
      <c r="AA54">
        <v>23</v>
      </c>
      <c r="AB54" t="s">
        <v>84</v>
      </c>
      <c r="AC54" t="s">
        <v>166</v>
      </c>
      <c r="AD54" t="s">
        <v>164</v>
      </c>
    </row>
    <row r="55" spans="1:30">
      <c r="A55" t="s">
        <v>220</v>
      </c>
      <c r="B55" s="16">
        <v>44287</v>
      </c>
      <c r="C55" s="394">
        <v>44386</v>
      </c>
      <c r="D55" t="s">
        <v>92</v>
      </c>
      <c r="E55">
        <v>10981</v>
      </c>
      <c r="F55">
        <v>646</v>
      </c>
      <c r="G55">
        <v>610</v>
      </c>
      <c r="H55">
        <v>390</v>
      </c>
      <c r="I55">
        <v>352</v>
      </c>
      <c r="J55">
        <v>28</v>
      </c>
      <c r="K55">
        <v>94</v>
      </c>
      <c r="L55">
        <v>75</v>
      </c>
      <c r="M55">
        <v>44</v>
      </c>
      <c r="N55">
        <v>43</v>
      </c>
      <c r="O55">
        <v>637</v>
      </c>
      <c r="P55">
        <v>370</v>
      </c>
      <c r="Q55">
        <v>279</v>
      </c>
      <c r="R55">
        <v>217</v>
      </c>
      <c r="S55">
        <v>1237</v>
      </c>
      <c r="T55">
        <v>540</v>
      </c>
      <c r="U55">
        <v>697</v>
      </c>
      <c r="V55">
        <v>84</v>
      </c>
      <c r="W55">
        <v>307</v>
      </c>
      <c r="X55">
        <v>142</v>
      </c>
      <c r="Y55">
        <v>435</v>
      </c>
      <c r="Z55">
        <v>198</v>
      </c>
      <c r="AA55">
        <v>3</v>
      </c>
      <c r="AB55" t="s">
        <v>97</v>
      </c>
      <c r="AC55" t="s">
        <v>179</v>
      </c>
      <c r="AD55" t="s">
        <v>174</v>
      </c>
    </row>
    <row r="56" spans="1:30">
      <c r="A56" t="s">
        <v>220</v>
      </c>
      <c r="B56" s="16">
        <v>44287</v>
      </c>
      <c r="C56" s="394">
        <v>44386</v>
      </c>
      <c r="D56" t="s">
        <v>72</v>
      </c>
      <c r="E56">
        <v>5727</v>
      </c>
      <c r="F56">
        <v>332</v>
      </c>
      <c r="G56">
        <v>305</v>
      </c>
      <c r="H56">
        <v>262</v>
      </c>
      <c r="I56">
        <v>91</v>
      </c>
      <c r="J56">
        <v>13</v>
      </c>
      <c r="K56">
        <v>68</v>
      </c>
      <c r="L56">
        <v>44</v>
      </c>
      <c r="M56">
        <v>36</v>
      </c>
      <c r="N56">
        <v>1</v>
      </c>
      <c r="O56">
        <v>345</v>
      </c>
      <c r="P56">
        <v>229</v>
      </c>
      <c r="Q56">
        <v>203</v>
      </c>
      <c r="R56">
        <v>172</v>
      </c>
      <c r="S56">
        <v>809</v>
      </c>
      <c r="T56">
        <v>487</v>
      </c>
      <c r="U56">
        <v>322</v>
      </c>
      <c r="V56">
        <v>62</v>
      </c>
      <c r="W56">
        <v>238</v>
      </c>
      <c r="X56">
        <v>109</v>
      </c>
      <c r="Y56">
        <v>366</v>
      </c>
      <c r="Z56">
        <v>183</v>
      </c>
      <c r="AA56">
        <v>1</v>
      </c>
      <c r="AB56" t="s">
        <v>74</v>
      </c>
      <c r="AC56" t="s">
        <v>154</v>
      </c>
      <c r="AD56" t="s">
        <v>153</v>
      </c>
    </row>
    <row r="57" spans="1:30">
      <c r="A57" t="s">
        <v>220</v>
      </c>
      <c r="B57" s="16">
        <v>44287</v>
      </c>
      <c r="C57" s="394">
        <v>44386</v>
      </c>
      <c r="D57" t="s">
        <v>85</v>
      </c>
      <c r="E57">
        <v>5142</v>
      </c>
      <c r="F57">
        <v>304</v>
      </c>
      <c r="G57">
        <v>289</v>
      </c>
      <c r="H57">
        <v>195</v>
      </c>
      <c r="I57">
        <v>242</v>
      </c>
      <c r="J57">
        <v>66</v>
      </c>
      <c r="K57">
        <v>31</v>
      </c>
      <c r="L57">
        <v>26</v>
      </c>
      <c r="M57">
        <v>23</v>
      </c>
      <c r="N57">
        <v>23</v>
      </c>
      <c r="O57">
        <v>248</v>
      </c>
      <c r="P57">
        <v>178</v>
      </c>
      <c r="Q57">
        <v>175</v>
      </c>
      <c r="R57">
        <v>165</v>
      </c>
      <c r="S57">
        <v>602</v>
      </c>
      <c r="T57">
        <v>266</v>
      </c>
      <c r="U57">
        <v>336</v>
      </c>
      <c r="V57">
        <v>27</v>
      </c>
      <c r="W57">
        <v>151</v>
      </c>
      <c r="X57">
        <v>63</v>
      </c>
      <c r="Y57">
        <v>263</v>
      </c>
      <c r="Z57">
        <v>123</v>
      </c>
      <c r="AA57">
        <v>4</v>
      </c>
      <c r="AB57" t="s">
        <v>91</v>
      </c>
      <c r="AC57" t="s">
        <v>173</v>
      </c>
      <c r="AD57" t="s">
        <v>167</v>
      </c>
    </row>
    <row r="58" spans="1:30">
      <c r="A58" t="s">
        <v>220</v>
      </c>
      <c r="B58" s="16">
        <v>44287</v>
      </c>
      <c r="C58" s="394">
        <v>44386</v>
      </c>
      <c r="D58" t="s">
        <v>88</v>
      </c>
      <c r="E58">
        <v>4685</v>
      </c>
      <c r="F58">
        <v>418</v>
      </c>
      <c r="G58">
        <v>399</v>
      </c>
      <c r="H58">
        <v>302</v>
      </c>
      <c r="I58">
        <v>306</v>
      </c>
      <c r="J58">
        <v>50</v>
      </c>
      <c r="K58">
        <v>54</v>
      </c>
      <c r="L58">
        <v>49</v>
      </c>
      <c r="M58">
        <v>46</v>
      </c>
      <c r="N58">
        <v>24</v>
      </c>
      <c r="O58">
        <v>249</v>
      </c>
      <c r="P58">
        <v>219</v>
      </c>
      <c r="Q58">
        <v>211</v>
      </c>
      <c r="R58">
        <v>202</v>
      </c>
      <c r="S58">
        <v>697</v>
      </c>
      <c r="T58">
        <v>332</v>
      </c>
      <c r="U58">
        <v>365</v>
      </c>
      <c r="V58">
        <v>128</v>
      </c>
      <c r="W58">
        <v>200</v>
      </c>
      <c r="X58">
        <v>80</v>
      </c>
      <c r="Y58">
        <v>274</v>
      </c>
      <c r="Z58">
        <v>147</v>
      </c>
      <c r="AA58">
        <v>4</v>
      </c>
      <c r="AB58" t="s">
        <v>91</v>
      </c>
      <c r="AC58" t="s">
        <v>173</v>
      </c>
      <c r="AD58" t="s">
        <v>170</v>
      </c>
    </row>
    <row r="59" spans="1:30">
      <c r="A59" t="s">
        <v>220</v>
      </c>
      <c r="B59" s="16">
        <v>44287</v>
      </c>
      <c r="C59" s="394">
        <v>44386</v>
      </c>
      <c r="D59" t="s">
        <v>64</v>
      </c>
      <c r="E59">
        <v>5033</v>
      </c>
      <c r="F59">
        <v>278</v>
      </c>
      <c r="G59">
        <v>263</v>
      </c>
      <c r="H59">
        <v>187</v>
      </c>
      <c r="I59">
        <v>176</v>
      </c>
      <c r="J59">
        <v>26</v>
      </c>
      <c r="K59">
        <v>25</v>
      </c>
      <c r="L59">
        <v>22</v>
      </c>
      <c r="M59">
        <v>7</v>
      </c>
      <c r="N59">
        <v>4</v>
      </c>
      <c r="O59">
        <v>183</v>
      </c>
      <c r="P59">
        <v>145</v>
      </c>
      <c r="Q59">
        <v>139</v>
      </c>
      <c r="R59">
        <v>136</v>
      </c>
      <c r="S59">
        <v>512</v>
      </c>
      <c r="T59">
        <v>314</v>
      </c>
      <c r="U59">
        <v>198</v>
      </c>
      <c r="V59">
        <v>39</v>
      </c>
      <c r="W59">
        <v>108</v>
      </c>
      <c r="X59">
        <v>47</v>
      </c>
      <c r="Y59">
        <v>168</v>
      </c>
      <c r="Z59">
        <v>93</v>
      </c>
      <c r="AA59">
        <v>15</v>
      </c>
      <c r="AB59" t="s">
        <v>67</v>
      </c>
      <c r="AC59" t="s">
        <v>148</v>
      </c>
      <c r="AD59" t="s">
        <v>144</v>
      </c>
    </row>
    <row r="60" spans="1:30">
      <c r="A60" t="s">
        <v>220</v>
      </c>
      <c r="B60" s="16">
        <v>44287</v>
      </c>
      <c r="C60" s="394">
        <v>44386</v>
      </c>
      <c r="D60" t="s">
        <v>70</v>
      </c>
      <c r="E60">
        <v>10743</v>
      </c>
      <c r="F60">
        <v>800</v>
      </c>
      <c r="G60">
        <v>757</v>
      </c>
      <c r="H60">
        <v>371</v>
      </c>
      <c r="I60">
        <v>264</v>
      </c>
      <c r="J60">
        <v>17</v>
      </c>
      <c r="K60">
        <v>231</v>
      </c>
      <c r="L60">
        <v>192</v>
      </c>
      <c r="M60">
        <v>94</v>
      </c>
      <c r="N60">
        <v>160</v>
      </c>
      <c r="O60">
        <v>732</v>
      </c>
      <c r="P60">
        <v>408</v>
      </c>
      <c r="Q60">
        <v>386</v>
      </c>
      <c r="R60">
        <v>341</v>
      </c>
      <c r="S60">
        <v>1845</v>
      </c>
      <c r="T60">
        <v>720</v>
      </c>
      <c r="U60">
        <v>1125</v>
      </c>
      <c r="V60">
        <v>152</v>
      </c>
      <c r="W60">
        <v>606</v>
      </c>
      <c r="X60">
        <v>258</v>
      </c>
      <c r="Y60">
        <v>828</v>
      </c>
      <c r="Z60">
        <v>392</v>
      </c>
      <c r="AA60">
        <v>80</v>
      </c>
      <c r="AB60" t="s">
        <v>74</v>
      </c>
      <c r="AC60" t="s">
        <v>154</v>
      </c>
      <c r="AD60" t="s">
        <v>151</v>
      </c>
    </row>
    <row r="61" spans="1:30">
      <c r="A61" t="s">
        <v>220</v>
      </c>
      <c r="B61" s="16">
        <v>44287</v>
      </c>
      <c r="C61" s="394">
        <v>44386</v>
      </c>
      <c r="D61" t="s">
        <v>57</v>
      </c>
      <c r="E61">
        <v>4108</v>
      </c>
      <c r="F61">
        <v>375</v>
      </c>
      <c r="G61">
        <v>362</v>
      </c>
      <c r="H61">
        <v>217</v>
      </c>
      <c r="I61">
        <v>273</v>
      </c>
      <c r="J61">
        <v>0</v>
      </c>
      <c r="K61">
        <v>64</v>
      </c>
      <c r="L61">
        <v>58</v>
      </c>
      <c r="M61">
        <v>9</v>
      </c>
      <c r="N61">
        <v>2</v>
      </c>
      <c r="O61">
        <v>213</v>
      </c>
      <c r="P61">
        <v>151</v>
      </c>
      <c r="Q61">
        <v>146</v>
      </c>
      <c r="R61">
        <v>137</v>
      </c>
      <c r="S61">
        <v>785</v>
      </c>
      <c r="T61">
        <v>172</v>
      </c>
      <c r="U61">
        <v>613</v>
      </c>
      <c r="V61">
        <v>458</v>
      </c>
      <c r="W61">
        <v>198</v>
      </c>
      <c r="X61">
        <v>88</v>
      </c>
      <c r="Y61">
        <v>269</v>
      </c>
      <c r="Z61">
        <v>101</v>
      </c>
      <c r="AA61">
        <v>69</v>
      </c>
      <c r="AB61" t="s">
        <v>67</v>
      </c>
      <c r="AC61" t="s">
        <v>148</v>
      </c>
      <c r="AD61" t="s">
        <v>48</v>
      </c>
    </row>
    <row r="62" spans="1:30">
      <c r="A62" t="s">
        <v>220</v>
      </c>
      <c r="B62" s="16">
        <v>44287</v>
      </c>
      <c r="C62" s="394">
        <v>44386</v>
      </c>
      <c r="D62" t="s">
        <v>96</v>
      </c>
      <c r="E62">
        <v>7446</v>
      </c>
      <c r="F62">
        <v>525</v>
      </c>
      <c r="G62">
        <v>504</v>
      </c>
      <c r="H62">
        <v>170</v>
      </c>
      <c r="I62">
        <v>349</v>
      </c>
      <c r="J62">
        <v>29</v>
      </c>
      <c r="K62">
        <v>96</v>
      </c>
      <c r="L62">
        <v>41</v>
      </c>
      <c r="M62">
        <v>25</v>
      </c>
      <c r="N62">
        <v>29</v>
      </c>
      <c r="O62">
        <v>369</v>
      </c>
      <c r="P62">
        <v>150</v>
      </c>
      <c r="Q62">
        <v>112</v>
      </c>
      <c r="R62">
        <v>100</v>
      </c>
      <c r="S62">
        <v>1131</v>
      </c>
      <c r="T62">
        <v>379</v>
      </c>
      <c r="U62">
        <v>752</v>
      </c>
      <c r="V62">
        <v>72</v>
      </c>
      <c r="W62">
        <v>257</v>
      </c>
      <c r="X62">
        <v>112</v>
      </c>
      <c r="Y62">
        <v>405</v>
      </c>
      <c r="Z62">
        <v>190</v>
      </c>
      <c r="AA62">
        <v>17</v>
      </c>
      <c r="AB62" t="s">
        <v>97</v>
      </c>
      <c r="AC62" t="s">
        <v>179</v>
      </c>
      <c r="AD62" t="s">
        <v>178</v>
      </c>
    </row>
    <row r="63" spans="1:30">
      <c r="A63" t="s">
        <v>220</v>
      </c>
      <c r="B63" s="16">
        <v>44287</v>
      </c>
      <c r="C63" s="394">
        <v>44386</v>
      </c>
      <c r="D63" t="s">
        <v>82</v>
      </c>
      <c r="E63">
        <v>6279</v>
      </c>
      <c r="F63">
        <v>496</v>
      </c>
      <c r="G63">
        <v>465</v>
      </c>
      <c r="H63">
        <v>233</v>
      </c>
      <c r="I63">
        <v>390</v>
      </c>
      <c r="J63">
        <v>39</v>
      </c>
      <c r="K63">
        <v>61</v>
      </c>
      <c r="L63">
        <v>48</v>
      </c>
      <c r="M63">
        <v>43</v>
      </c>
      <c r="N63">
        <v>45</v>
      </c>
      <c r="O63">
        <v>340</v>
      </c>
      <c r="P63">
        <v>254</v>
      </c>
      <c r="Q63">
        <v>253</v>
      </c>
      <c r="R63">
        <v>231</v>
      </c>
      <c r="S63">
        <v>700</v>
      </c>
      <c r="T63">
        <v>220</v>
      </c>
      <c r="U63">
        <v>480</v>
      </c>
      <c r="V63">
        <v>37</v>
      </c>
      <c r="W63">
        <v>191</v>
      </c>
      <c r="X63">
        <v>91</v>
      </c>
      <c r="Y63">
        <v>320</v>
      </c>
      <c r="Z63">
        <v>154</v>
      </c>
      <c r="AA63">
        <v>29</v>
      </c>
      <c r="AB63" t="s">
        <v>84</v>
      </c>
      <c r="AC63" t="s">
        <v>166</v>
      </c>
      <c r="AD63" t="s">
        <v>163</v>
      </c>
    </row>
    <row r="64" spans="1:30">
      <c r="A64" t="s">
        <v>220</v>
      </c>
      <c r="B64" s="16">
        <v>44287</v>
      </c>
      <c r="C64" s="394">
        <v>44386</v>
      </c>
      <c r="D64" t="s">
        <v>54</v>
      </c>
      <c r="E64">
        <v>6495</v>
      </c>
      <c r="F64">
        <v>414</v>
      </c>
      <c r="G64">
        <v>376</v>
      </c>
      <c r="H64">
        <v>163</v>
      </c>
      <c r="I64">
        <v>277</v>
      </c>
      <c r="J64">
        <v>26</v>
      </c>
      <c r="K64">
        <v>99</v>
      </c>
      <c r="L64">
        <v>80</v>
      </c>
      <c r="M64">
        <v>51</v>
      </c>
      <c r="N64">
        <v>46</v>
      </c>
      <c r="O64">
        <v>323</v>
      </c>
      <c r="P64">
        <v>266</v>
      </c>
      <c r="Q64">
        <v>258</v>
      </c>
      <c r="R64">
        <v>251</v>
      </c>
      <c r="S64">
        <v>878</v>
      </c>
      <c r="T64">
        <v>391</v>
      </c>
      <c r="U64">
        <v>487</v>
      </c>
      <c r="V64">
        <v>17</v>
      </c>
      <c r="W64">
        <v>266</v>
      </c>
      <c r="X64">
        <v>87</v>
      </c>
      <c r="Y64">
        <v>396</v>
      </c>
      <c r="Z64">
        <v>198</v>
      </c>
      <c r="AA64">
        <v>33</v>
      </c>
      <c r="AB64" t="s">
        <v>67</v>
      </c>
      <c r="AC64" t="s">
        <v>148</v>
      </c>
      <c r="AD64" t="s">
        <v>142</v>
      </c>
    </row>
    <row r="65" spans="1:30">
      <c r="A65" t="s">
        <v>220</v>
      </c>
      <c r="B65" s="16">
        <v>44287</v>
      </c>
      <c r="C65" s="394">
        <v>44386</v>
      </c>
      <c r="D65" t="s">
        <v>89</v>
      </c>
      <c r="E65">
        <v>11707</v>
      </c>
      <c r="F65">
        <v>865</v>
      </c>
      <c r="G65">
        <v>828</v>
      </c>
      <c r="H65">
        <v>508</v>
      </c>
      <c r="I65">
        <v>530</v>
      </c>
      <c r="J65">
        <v>79</v>
      </c>
      <c r="K65">
        <v>123</v>
      </c>
      <c r="L65">
        <v>81</v>
      </c>
      <c r="M65">
        <v>64</v>
      </c>
      <c r="N65">
        <v>67</v>
      </c>
      <c r="O65">
        <v>558</v>
      </c>
      <c r="P65">
        <v>364</v>
      </c>
      <c r="Q65">
        <v>338</v>
      </c>
      <c r="R65">
        <v>294</v>
      </c>
      <c r="S65">
        <v>1788</v>
      </c>
      <c r="T65">
        <v>864</v>
      </c>
      <c r="U65">
        <v>924</v>
      </c>
      <c r="V65">
        <v>243</v>
      </c>
      <c r="W65">
        <v>318</v>
      </c>
      <c r="X65">
        <v>166</v>
      </c>
      <c r="Y65">
        <v>420</v>
      </c>
      <c r="Z65">
        <v>240</v>
      </c>
      <c r="AA65">
        <v>19</v>
      </c>
      <c r="AB65" t="s">
        <v>91</v>
      </c>
      <c r="AC65" t="s">
        <v>173</v>
      </c>
      <c r="AD65" t="s">
        <v>171</v>
      </c>
    </row>
    <row r="66" spans="1:30">
      <c r="A66" t="s">
        <v>220</v>
      </c>
      <c r="B66" s="16">
        <v>44287</v>
      </c>
      <c r="C66" s="394">
        <v>44386</v>
      </c>
      <c r="D66" t="s">
        <v>101</v>
      </c>
      <c r="E66">
        <v>4384</v>
      </c>
      <c r="F66">
        <v>226</v>
      </c>
      <c r="G66">
        <v>214</v>
      </c>
      <c r="H66">
        <v>182</v>
      </c>
      <c r="I66">
        <v>148</v>
      </c>
      <c r="J66">
        <v>57</v>
      </c>
      <c r="K66">
        <v>28</v>
      </c>
      <c r="L66">
        <v>28</v>
      </c>
      <c r="M66">
        <v>27</v>
      </c>
      <c r="N66">
        <v>9</v>
      </c>
      <c r="O66">
        <v>198</v>
      </c>
      <c r="P66">
        <v>188</v>
      </c>
      <c r="Q66">
        <v>185</v>
      </c>
      <c r="R66">
        <v>160</v>
      </c>
      <c r="S66">
        <v>466</v>
      </c>
      <c r="T66">
        <v>286</v>
      </c>
      <c r="U66">
        <v>180</v>
      </c>
      <c r="V66">
        <v>23</v>
      </c>
      <c r="W66">
        <v>82</v>
      </c>
      <c r="X66">
        <v>44</v>
      </c>
      <c r="Y66">
        <v>124</v>
      </c>
      <c r="Z66">
        <v>60</v>
      </c>
      <c r="AA66">
        <v>6</v>
      </c>
      <c r="AB66" t="s">
        <v>103</v>
      </c>
      <c r="AC66" t="s">
        <v>185</v>
      </c>
      <c r="AD66" t="s">
        <v>183</v>
      </c>
    </row>
    <row r="67" spans="1:30">
      <c r="A67" t="s">
        <v>220</v>
      </c>
      <c r="B67" s="16">
        <v>44287</v>
      </c>
      <c r="C67" s="394">
        <v>44386</v>
      </c>
      <c r="D67" t="s">
        <v>66</v>
      </c>
      <c r="E67">
        <v>3238</v>
      </c>
      <c r="F67">
        <v>123</v>
      </c>
      <c r="G67">
        <v>111</v>
      </c>
      <c r="H67">
        <v>79</v>
      </c>
      <c r="I67">
        <v>65</v>
      </c>
      <c r="J67">
        <v>13</v>
      </c>
      <c r="K67">
        <v>41</v>
      </c>
      <c r="L67">
        <v>30</v>
      </c>
      <c r="M67">
        <v>8</v>
      </c>
      <c r="N67">
        <v>0</v>
      </c>
      <c r="O67">
        <v>187</v>
      </c>
      <c r="P67">
        <v>114</v>
      </c>
      <c r="Q67">
        <v>113</v>
      </c>
      <c r="R67">
        <v>113</v>
      </c>
      <c r="S67">
        <v>298</v>
      </c>
      <c r="T67">
        <v>175</v>
      </c>
      <c r="U67">
        <v>123</v>
      </c>
      <c r="V67">
        <v>18</v>
      </c>
      <c r="W67">
        <v>72</v>
      </c>
      <c r="X67">
        <v>30</v>
      </c>
      <c r="Y67">
        <v>104</v>
      </c>
      <c r="Z67">
        <v>52</v>
      </c>
      <c r="AA67">
        <v>16</v>
      </c>
      <c r="AB67" t="s">
        <v>67</v>
      </c>
      <c r="AC67" t="s">
        <v>148</v>
      </c>
      <c r="AD67" t="s">
        <v>146</v>
      </c>
    </row>
    <row r="68" spans="1:30">
      <c r="A68" t="s">
        <v>220</v>
      </c>
      <c r="B68" s="16">
        <v>44287</v>
      </c>
      <c r="C68" s="394">
        <v>44386</v>
      </c>
      <c r="D68" t="s">
        <v>80</v>
      </c>
      <c r="E68">
        <v>5176</v>
      </c>
      <c r="F68">
        <v>350</v>
      </c>
      <c r="G68">
        <v>335</v>
      </c>
      <c r="H68">
        <v>288</v>
      </c>
      <c r="I68">
        <v>93</v>
      </c>
      <c r="J68">
        <v>10</v>
      </c>
      <c r="K68">
        <v>24</v>
      </c>
      <c r="L68">
        <v>22</v>
      </c>
      <c r="M68">
        <v>12</v>
      </c>
      <c r="N68">
        <v>22</v>
      </c>
      <c r="O68">
        <v>228</v>
      </c>
      <c r="P68">
        <v>196</v>
      </c>
      <c r="Q68">
        <v>179</v>
      </c>
      <c r="R68">
        <v>91</v>
      </c>
      <c r="S68">
        <v>577</v>
      </c>
      <c r="T68">
        <v>340</v>
      </c>
      <c r="U68">
        <v>237</v>
      </c>
      <c r="V68">
        <v>95</v>
      </c>
      <c r="W68">
        <v>136</v>
      </c>
      <c r="X68">
        <v>70</v>
      </c>
      <c r="Y68">
        <v>197</v>
      </c>
      <c r="Z68">
        <v>103</v>
      </c>
      <c r="AA68">
        <v>18</v>
      </c>
      <c r="AB68" t="s">
        <v>84</v>
      </c>
      <c r="AC68" t="s">
        <v>166</v>
      </c>
      <c r="AD68" t="s">
        <v>161</v>
      </c>
    </row>
    <row r="69" spans="1:30">
      <c r="A69" t="s">
        <v>220</v>
      </c>
      <c r="B69" s="16">
        <v>44287</v>
      </c>
      <c r="C69" s="394">
        <v>44386</v>
      </c>
      <c r="D69" t="s">
        <v>52</v>
      </c>
      <c r="E69">
        <v>3068</v>
      </c>
      <c r="F69">
        <v>214</v>
      </c>
      <c r="G69">
        <v>196</v>
      </c>
      <c r="H69">
        <v>152</v>
      </c>
      <c r="I69">
        <v>70</v>
      </c>
      <c r="J69">
        <v>9</v>
      </c>
      <c r="K69">
        <v>113</v>
      </c>
      <c r="L69">
        <v>84</v>
      </c>
      <c r="M69">
        <v>42</v>
      </c>
      <c r="N69">
        <v>3</v>
      </c>
      <c r="O69">
        <v>214</v>
      </c>
      <c r="P69">
        <v>165</v>
      </c>
      <c r="Q69">
        <v>154</v>
      </c>
      <c r="R69">
        <v>103</v>
      </c>
      <c r="S69">
        <v>767</v>
      </c>
      <c r="T69">
        <v>489</v>
      </c>
      <c r="U69">
        <v>278</v>
      </c>
      <c r="V69">
        <v>33</v>
      </c>
      <c r="W69">
        <v>214</v>
      </c>
      <c r="X69">
        <v>74</v>
      </c>
      <c r="Y69">
        <v>265</v>
      </c>
      <c r="Z69">
        <v>155</v>
      </c>
      <c r="AA69">
        <v>33</v>
      </c>
      <c r="AB69" t="s">
        <v>67</v>
      </c>
      <c r="AC69" t="s">
        <v>148</v>
      </c>
      <c r="AD69" t="s">
        <v>141</v>
      </c>
    </row>
    <row r="70" spans="1:30">
      <c r="A70" t="s">
        <v>220</v>
      </c>
      <c r="B70" s="16">
        <v>44287</v>
      </c>
      <c r="C70" s="394">
        <v>44386</v>
      </c>
      <c r="D70" t="s">
        <v>87</v>
      </c>
      <c r="E70">
        <v>2973</v>
      </c>
      <c r="F70">
        <v>237</v>
      </c>
      <c r="G70">
        <v>225</v>
      </c>
      <c r="H70">
        <v>184</v>
      </c>
      <c r="I70">
        <v>171</v>
      </c>
      <c r="J70">
        <v>36</v>
      </c>
      <c r="K70">
        <v>24</v>
      </c>
      <c r="L70">
        <v>22</v>
      </c>
      <c r="M70">
        <v>12</v>
      </c>
      <c r="N70">
        <v>18</v>
      </c>
      <c r="O70">
        <v>126</v>
      </c>
      <c r="P70">
        <v>108</v>
      </c>
      <c r="Q70">
        <v>100</v>
      </c>
      <c r="R70">
        <v>90</v>
      </c>
      <c r="S70">
        <v>444</v>
      </c>
      <c r="T70">
        <v>254</v>
      </c>
      <c r="U70">
        <v>190</v>
      </c>
      <c r="V70">
        <v>39</v>
      </c>
      <c r="W70">
        <v>89</v>
      </c>
      <c r="X70">
        <v>44</v>
      </c>
      <c r="Y70">
        <v>116</v>
      </c>
      <c r="Z70">
        <v>75</v>
      </c>
      <c r="AA70">
        <v>12</v>
      </c>
      <c r="AB70" t="s">
        <v>91</v>
      </c>
      <c r="AC70" t="s">
        <v>173</v>
      </c>
      <c r="AD70" t="s">
        <v>169</v>
      </c>
    </row>
    <row r="71" spans="1:30">
      <c r="A71" t="s">
        <v>220</v>
      </c>
      <c r="B71" s="16">
        <v>44287</v>
      </c>
      <c r="C71" s="394">
        <v>44386</v>
      </c>
      <c r="D71" t="s">
        <v>90</v>
      </c>
      <c r="E71">
        <v>2912</v>
      </c>
      <c r="F71">
        <v>211</v>
      </c>
      <c r="G71">
        <v>202</v>
      </c>
      <c r="H71">
        <v>150</v>
      </c>
      <c r="I71">
        <v>141</v>
      </c>
      <c r="J71">
        <v>20</v>
      </c>
      <c r="K71">
        <v>27</v>
      </c>
      <c r="L71">
        <v>25</v>
      </c>
      <c r="M71">
        <v>11</v>
      </c>
      <c r="N71">
        <v>6</v>
      </c>
      <c r="O71">
        <v>94</v>
      </c>
      <c r="P71">
        <v>85</v>
      </c>
      <c r="Q71">
        <v>71</v>
      </c>
      <c r="R71">
        <v>65</v>
      </c>
      <c r="S71">
        <v>332</v>
      </c>
      <c r="T71">
        <v>158</v>
      </c>
      <c r="U71">
        <v>174</v>
      </c>
      <c r="V71">
        <v>34</v>
      </c>
      <c r="W71">
        <v>85</v>
      </c>
      <c r="X71">
        <v>44</v>
      </c>
      <c r="Y71">
        <v>124</v>
      </c>
      <c r="Z71">
        <v>50</v>
      </c>
      <c r="AA71">
        <v>4</v>
      </c>
      <c r="AB71" t="s">
        <v>91</v>
      </c>
      <c r="AC71" t="s">
        <v>173</v>
      </c>
      <c r="AD71" t="s">
        <v>172</v>
      </c>
    </row>
    <row r="72" spans="1:30">
      <c r="A72" t="s">
        <v>220</v>
      </c>
      <c r="B72" s="16">
        <v>44287</v>
      </c>
      <c r="C72" s="394">
        <v>44386</v>
      </c>
      <c r="D72" t="s">
        <v>93</v>
      </c>
      <c r="E72">
        <v>2123</v>
      </c>
      <c r="F72">
        <v>200</v>
      </c>
      <c r="G72">
        <v>192</v>
      </c>
      <c r="H72">
        <v>144</v>
      </c>
      <c r="I72">
        <v>94</v>
      </c>
      <c r="J72">
        <v>6</v>
      </c>
      <c r="K72">
        <v>15</v>
      </c>
      <c r="L72">
        <v>5</v>
      </c>
      <c r="M72">
        <v>4</v>
      </c>
      <c r="N72">
        <v>2</v>
      </c>
      <c r="O72">
        <v>148</v>
      </c>
      <c r="P72">
        <v>114</v>
      </c>
      <c r="Q72">
        <v>106</v>
      </c>
      <c r="R72">
        <v>37</v>
      </c>
      <c r="S72">
        <v>369</v>
      </c>
      <c r="T72">
        <v>105</v>
      </c>
      <c r="U72">
        <v>264</v>
      </c>
      <c r="V72">
        <v>29</v>
      </c>
      <c r="W72">
        <v>88</v>
      </c>
      <c r="X72">
        <v>43</v>
      </c>
      <c r="Y72">
        <v>133</v>
      </c>
      <c r="Z72">
        <v>62</v>
      </c>
      <c r="AA72">
        <v>17</v>
      </c>
      <c r="AB72" t="s">
        <v>97</v>
      </c>
      <c r="AC72" t="s">
        <v>179</v>
      </c>
      <c r="AD72" t="s">
        <v>175</v>
      </c>
    </row>
    <row r="73" spans="1:30">
      <c r="A73" t="s">
        <v>220</v>
      </c>
      <c r="B73" s="16">
        <v>44287</v>
      </c>
      <c r="C73" s="394">
        <v>44386</v>
      </c>
      <c r="D73" t="s">
        <v>81</v>
      </c>
      <c r="E73">
        <v>2720</v>
      </c>
      <c r="F73">
        <v>202</v>
      </c>
      <c r="G73">
        <v>191</v>
      </c>
      <c r="H73">
        <v>35</v>
      </c>
      <c r="I73">
        <v>161</v>
      </c>
      <c r="J73">
        <v>17</v>
      </c>
      <c r="K73">
        <v>14</v>
      </c>
      <c r="L73">
        <v>10</v>
      </c>
      <c r="M73">
        <v>8</v>
      </c>
      <c r="N73">
        <v>10</v>
      </c>
      <c r="O73">
        <v>94</v>
      </c>
      <c r="P73">
        <v>64</v>
      </c>
      <c r="Q73">
        <v>50</v>
      </c>
      <c r="R73">
        <v>43</v>
      </c>
      <c r="S73">
        <v>341</v>
      </c>
      <c r="T73">
        <v>112</v>
      </c>
      <c r="U73">
        <v>229</v>
      </c>
      <c r="V73">
        <v>23</v>
      </c>
      <c r="W73">
        <v>63</v>
      </c>
      <c r="X73">
        <v>28</v>
      </c>
      <c r="Y73">
        <v>130</v>
      </c>
      <c r="Z73">
        <v>59</v>
      </c>
      <c r="AA73">
        <v>6</v>
      </c>
      <c r="AB73" t="s">
        <v>84</v>
      </c>
      <c r="AC73" t="s">
        <v>166</v>
      </c>
      <c r="AD73" t="s">
        <v>162</v>
      </c>
    </row>
    <row r="74" spans="1:30">
      <c r="A74" t="s">
        <v>220</v>
      </c>
      <c r="B74" s="16">
        <v>44287</v>
      </c>
      <c r="C74" s="394">
        <v>44386</v>
      </c>
      <c r="D74" t="s">
        <v>69</v>
      </c>
      <c r="E74">
        <v>6902</v>
      </c>
      <c r="F74">
        <v>476</v>
      </c>
      <c r="G74">
        <v>449</v>
      </c>
      <c r="H74">
        <v>289</v>
      </c>
      <c r="I74">
        <v>169</v>
      </c>
      <c r="J74">
        <v>14</v>
      </c>
      <c r="K74">
        <v>115</v>
      </c>
      <c r="L74">
        <v>109</v>
      </c>
      <c r="M74">
        <v>48</v>
      </c>
      <c r="N74">
        <v>43</v>
      </c>
      <c r="O74">
        <v>448</v>
      </c>
      <c r="P74">
        <v>348</v>
      </c>
      <c r="Q74">
        <v>311</v>
      </c>
      <c r="R74">
        <v>124</v>
      </c>
      <c r="S74">
        <v>1210</v>
      </c>
      <c r="T74">
        <v>439</v>
      </c>
      <c r="U74">
        <v>771</v>
      </c>
      <c r="V74">
        <v>85</v>
      </c>
      <c r="W74">
        <v>303</v>
      </c>
      <c r="X74">
        <v>139</v>
      </c>
      <c r="Y74">
        <v>483</v>
      </c>
      <c r="Z74">
        <v>203</v>
      </c>
      <c r="AA74">
        <v>5</v>
      </c>
      <c r="AB74" t="s">
        <v>74</v>
      </c>
      <c r="AC74" t="s">
        <v>154</v>
      </c>
      <c r="AD74" t="s">
        <v>150</v>
      </c>
    </row>
    <row r="75" spans="1:30">
      <c r="A75" t="s">
        <v>220</v>
      </c>
      <c r="B75" s="16">
        <v>44287</v>
      </c>
      <c r="C75" s="394">
        <v>44386</v>
      </c>
      <c r="D75" t="s">
        <v>65</v>
      </c>
      <c r="E75">
        <v>4915</v>
      </c>
      <c r="F75">
        <v>407</v>
      </c>
      <c r="G75">
        <v>384</v>
      </c>
      <c r="H75">
        <v>92</v>
      </c>
      <c r="I75">
        <v>269</v>
      </c>
      <c r="J75">
        <v>18</v>
      </c>
      <c r="K75">
        <v>80</v>
      </c>
      <c r="L75">
        <v>41</v>
      </c>
      <c r="M75">
        <v>25</v>
      </c>
      <c r="N75">
        <v>24</v>
      </c>
      <c r="O75">
        <v>328</v>
      </c>
      <c r="P75">
        <v>149</v>
      </c>
      <c r="Q75">
        <v>149</v>
      </c>
      <c r="R75">
        <v>149</v>
      </c>
      <c r="S75">
        <v>717</v>
      </c>
      <c r="T75">
        <v>249</v>
      </c>
      <c r="U75">
        <v>468</v>
      </c>
      <c r="V75">
        <v>32</v>
      </c>
      <c r="W75">
        <v>161</v>
      </c>
      <c r="X75">
        <v>83</v>
      </c>
      <c r="Y75">
        <v>273</v>
      </c>
      <c r="Z75">
        <v>109</v>
      </c>
      <c r="AA75">
        <v>26</v>
      </c>
      <c r="AB75" t="s">
        <v>67</v>
      </c>
      <c r="AC75" t="s">
        <v>148</v>
      </c>
      <c r="AD75" t="s">
        <v>145</v>
      </c>
    </row>
    <row r="76" spans="1:30">
      <c r="A76" t="s">
        <v>220</v>
      </c>
      <c r="B76" s="16">
        <v>44317</v>
      </c>
      <c r="C76" s="394">
        <v>44386</v>
      </c>
      <c r="D76" t="s">
        <v>94</v>
      </c>
      <c r="E76">
        <v>6185</v>
      </c>
      <c r="F76">
        <v>504</v>
      </c>
      <c r="G76">
        <v>474</v>
      </c>
      <c r="H76">
        <v>199</v>
      </c>
      <c r="I76">
        <v>326</v>
      </c>
      <c r="J76">
        <v>33</v>
      </c>
      <c r="K76">
        <v>89</v>
      </c>
      <c r="L76">
        <v>49</v>
      </c>
      <c r="M76">
        <v>25</v>
      </c>
      <c r="N76">
        <v>33</v>
      </c>
      <c r="O76">
        <v>330</v>
      </c>
      <c r="P76">
        <v>137</v>
      </c>
      <c r="Q76">
        <v>127</v>
      </c>
      <c r="R76">
        <v>130</v>
      </c>
      <c r="S76">
        <v>899</v>
      </c>
      <c r="T76">
        <v>293</v>
      </c>
      <c r="U76">
        <v>606</v>
      </c>
      <c r="V76">
        <v>62</v>
      </c>
      <c r="W76">
        <v>233</v>
      </c>
      <c r="X76">
        <v>102</v>
      </c>
      <c r="Y76">
        <v>308</v>
      </c>
      <c r="Z76">
        <v>131</v>
      </c>
      <c r="AA76">
        <v>14</v>
      </c>
      <c r="AB76" t="s">
        <v>97</v>
      </c>
      <c r="AC76" t="s">
        <v>179</v>
      </c>
      <c r="AD76" t="s">
        <v>176</v>
      </c>
    </row>
    <row r="77" spans="1:30">
      <c r="A77" t="s">
        <v>220</v>
      </c>
      <c r="B77" s="16">
        <v>44317</v>
      </c>
      <c r="C77" s="394">
        <v>44386</v>
      </c>
      <c r="D77" t="s">
        <v>61</v>
      </c>
      <c r="E77">
        <v>7031</v>
      </c>
      <c r="F77">
        <v>352</v>
      </c>
      <c r="G77">
        <v>324</v>
      </c>
      <c r="H77">
        <v>135</v>
      </c>
      <c r="I77">
        <v>232</v>
      </c>
      <c r="J77">
        <v>38</v>
      </c>
      <c r="K77">
        <v>109</v>
      </c>
      <c r="L77">
        <v>56</v>
      </c>
      <c r="M77">
        <v>14</v>
      </c>
      <c r="N77">
        <v>18</v>
      </c>
      <c r="O77">
        <v>349</v>
      </c>
      <c r="P77">
        <v>225</v>
      </c>
      <c r="Q77">
        <v>221</v>
      </c>
      <c r="R77">
        <v>213</v>
      </c>
      <c r="S77">
        <v>799</v>
      </c>
      <c r="T77">
        <v>438</v>
      </c>
      <c r="U77">
        <v>361</v>
      </c>
      <c r="V77">
        <v>89</v>
      </c>
      <c r="W77">
        <v>156</v>
      </c>
      <c r="X77">
        <v>81</v>
      </c>
      <c r="Y77">
        <v>264</v>
      </c>
      <c r="Z77">
        <v>134</v>
      </c>
      <c r="AA77">
        <v>23</v>
      </c>
      <c r="AB77" t="s">
        <v>67</v>
      </c>
      <c r="AC77" t="s">
        <v>148</v>
      </c>
      <c r="AD77" t="s">
        <v>143</v>
      </c>
    </row>
    <row r="78" spans="1:30">
      <c r="A78" t="s">
        <v>220</v>
      </c>
      <c r="B78" s="16">
        <v>44317</v>
      </c>
      <c r="C78" s="394">
        <v>44386</v>
      </c>
      <c r="D78" t="s">
        <v>98</v>
      </c>
      <c r="E78">
        <v>5206</v>
      </c>
      <c r="F78">
        <v>419</v>
      </c>
      <c r="G78">
        <v>400</v>
      </c>
      <c r="H78">
        <v>262</v>
      </c>
      <c r="I78">
        <v>269</v>
      </c>
      <c r="J78">
        <v>32</v>
      </c>
      <c r="K78">
        <v>58</v>
      </c>
      <c r="L78">
        <v>42</v>
      </c>
      <c r="M78">
        <v>24</v>
      </c>
      <c r="N78">
        <v>29</v>
      </c>
      <c r="O78">
        <v>240</v>
      </c>
      <c r="P78">
        <v>132</v>
      </c>
      <c r="Q78">
        <v>106</v>
      </c>
      <c r="R78">
        <v>105</v>
      </c>
      <c r="S78">
        <v>810</v>
      </c>
      <c r="T78">
        <v>351</v>
      </c>
      <c r="U78">
        <v>459</v>
      </c>
      <c r="V78">
        <v>117</v>
      </c>
      <c r="W78">
        <v>169</v>
      </c>
      <c r="X78">
        <v>93</v>
      </c>
      <c r="Y78">
        <v>292</v>
      </c>
      <c r="Z78">
        <v>138</v>
      </c>
      <c r="AA78">
        <v>8</v>
      </c>
      <c r="AB78" t="s">
        <v>103</v>
      </c>
      <c r="AC78" t="s">
        <v>185</v>
      </c>
      <c r="AD78" t="s">
        <v>180</v>
      </c>
    </row>
    <row r="79" spans="1:30">
      <c r="A79" t="s">
        <v>220</v>
      </c>
      <c r="B79" s="16">
        <v>44317</v>
      </c>
      <c r="C79" s="394">
        <v>44386</v>
      </c>
      <c r="D79" t="s">
        <v>75</v>
      </c>
      <c r="E79">
        <v>7741</v>
      </c>
      <c r="F79">
        <v>731</v>
      </c>
      <c r="G79">
        <v>694</v>
      </c>
      <c r="H79">
        <v>544</v>
      </c>
      <c r="I79">
        <v>335</v>
      </c>
      <c r="J79">
        <v>71</v>
      </c>
      <c r="K79">
        <v>97</v>
      </c>
      <c r="L79">
        <v>92</v>
      </c>
      <c r="M79">
        <v>89</v>
      </c>
      <c r="N79">
        <v>77</v>
      </c>
      <c r="O79">
        <v>334</v>
      </c>
      <c r="P79">
        <v>281</v>
      </c>
      <c r="Q79">
        <v>274</v>
      </c>
      <c r="R79">
        <v>273</v>
      </c>
      <c r="S79">
        <v>1139</v>
      </c>
      <c r="T79">
        <v>600</v>
      </c>
      <c r="U79">
        <v>539</v>
      </c>
      <c r="V79">
        <v>98</v>
      </c>
      <c r="W79">
        <v>353</v>
      </c>
      <c r="X79">
        <v>189</v>
      </c>
      <c r="Y79">
        <v>496</v>
      </c>
      <c r="Z79">
        <v>232</v>
      </c>
      <c r="AA79">
        <v>54</v>
      </c>
      <c r="AB79" t="s">
        <v>77</v>
      </c>
      <c r="AC79" t="s">
        <v>158</v>
      </c>
      <c r="AD79" t="s">
        <v>155</v>
      </c>
    </row>
    <row r="80" spans="1:30">
      <c r="A80" t="s">
        <v>220</v>
      </c>
      <c r="B80" s="16">
        <v>44317</v>
      </c>
      <c r="C80" s="394">
        <v>44386</v>
      </c>
      <c r="D80" t="s">
        <v>99</v>
      </c>
      <c r="E80">
        <v>6233</v>
      </c>
      <c r="F80">
        <v>557</v>
      </c>
      <c r="G80">
        <v>542</v>
      </c>
      <c r="H80">
        <v>480</v>
      </c>
      <c r="I80">
        <v>454</v>
      </c>
      <c r="J80">
        <v>131</v>
      </c>
      <c r="K80">
        <v>39</v>
      </c>
      <c r="L80">
        <v>14</v>
      </c>
      <c r="M80">
        <v>10</v>
      </c>
      <c r="N80">
        <v>12</v>
      </c>
      <c r="O80">
        <v>338</v>
      </c>
      <c r="P80">
        <v>264</v>
      </c>
      <c r="Q80">
        <v>211</v>
      </c>
      <c r="R80">
        <v>229</v>
      </c>
      <c r="S80">
        <v>712</v>
      </c>
      <c r="T80">
        <v>351</v>
      </c>
      <c r="U80">
        <v>361</v>
      </c>
      <c r="V80">
        <v>78</v>
      </c>
      <c r="W80">
        <v>206</v>
      </c>
      <c r="X80">
        <v>132</v>
      </c>
      <c r="Y80">
        <v>336</v>
      </c>
      <c r="Z80">
        <v>156</v>
      </c>
      <c r="AA80">
        <v>13</v>
      </c>
      <c r="AB80" t="s">
        <v>103</v>
      </c>
      <c r="AC80" t="s">
        <v>185</v>
      </c>
      <c r="AD80" t="s">
        <v>221</v>
      </c>
    </row>
    <row r="81" spans="1:30">
      <c r="A81" t="s">
        <v>220</v>
      </c>
      <c r="B81" s="16">
        <v>44317</v>
      </c>
      <c r="C81" s="394">
        <v>44386</v>
      </c>
      <c r="D81" t="s">
        <v>78</v>
      </c>
      <c r="E81">
        <v>12269</v>
      </c>
      <c r="F81">
        <v>789</v>
      </c>
      <c r="G81">
        <v>720</v>
      </c>
      <c r="H81">
        <v>239</v>
      </c>
      <c r="I81">
        <v>598</v>
      </c>
      <c r="J81">
        <v>49</v>
      </c>
      <c r="K81">
        <v>112</v>
      </c>
      <c r="L81">
        <v>74</v>
      </c>
      <c r="M81">
        <v>30</v>
      </c>
      <c r="N81">
        <v>44</v>
      </c>
      <c r="O81">
        <v>599</v>
      </c>
      <c r="P81">
        <v>204</v>
      </c>
      <c r="Q81">
        <v>152</v>
      </c>
      <c r="R81">
        <v>90</v>
      </c>
      <c r="S81">
        <v>1447</v>
      </c>
      <c r="T81">
        <v>340</v>
      </c>
      <c r="U81">
        <v>1107</v>
      </c>
      <c r="V81">
        <v>67</v>
      </c>
      <c r="W81">
        <v>350</v>
      </c>
      <c r="X81">
        <v>155</v>
      </c>
      <c r="Y81">
        <v>549</v>
      </c>
      <c r="Z81">
        <v>212</v>
      </c>
      <c r="AA81">
        <v>53</v>
      </c>
      <c r="AB81" t="s">
        <v>84</v>
      </c>
      <c r="AC81" t="s">
        <v>166</v>
      </c>
      <c r="AD81" t="s">
        <v>159</v>
      </c>
    </row>
    <row r="82" spans="1:30">
      <c r="A82" t="s">
        <v>220</v>
      </c>
      <c r="B82" s="16">
        <v>44317</v>
      </c>
      <c r="C82" s="394">
        <v>44386</v>
      </c>
      <c r="D82" t="s">
        <v>76</v>
      </c>
      <c r="E82">
        <v>8522</v>
      </c>
      <c r="F82">
        <v>790</v>
      </c>
      <c r="G82">
        <v>764</v>
      </c>
      <c r="H82">
        <v>599</v>
      </c>
      <c r="I82">
        <v>439</v>
      </c>
      <c r="J82">
        <v>71</v>
      </c>
      <c r="K82">
        <v>47</v>
      </c>
      <c r="L82">
        <v>44</v>
      </c>
      <c r="M82">
        <v>42</v>
      </c>
      <c r="N82">
        <v>35</v>
      </c>
      <c r="O82">
        <v>430</v>
      </c>
      <c r="P82">
        <v>347</v>
      </c>
      <c r="Q82">
        <v>343</v>
      </c>
      <c r="R82">
        <v>341</v>
      </c>
      <c r="S82">
        <v>1104</v>
      </c>
      <c r="T82">
        <v>510</v>
      </c>
      <c r="U82">
        <v>594</v>
      </c>
      <c r="V82">
        <v>137</v>
      </c>
      <c r="W82">
        <v>341</v>
      </c>
      <c r="X82">
        <v>184</v>
      </c>
      <c r="Y82">
        <v>444</v>
      </c>
      <c r="Z82">
        <v>190</v>
      </c>
      <c r="AA82">
        <v>69</v>
      </c>
      <c r="AB82" t="s">
        <v>77</v>
      </c>
      <c r="AC82" t="s">
        <v>158</v>
      </c>
      <c r="AD82" t="s">
        <v>156</v>
      </c>
    </row>
    <row r="83" spans="1:30">
      <c r="A83" t="s">
        <v>220</v>
      </c>
      <c r="B83" s="16">
        <v>44317</v>
      </c>
      <c r="C83" s="394">
        <v>44386</v>
      </c>
      <c r="D83" t="s">
        <v>79</v>
      </c>
      <c r="E83">
        <v>7972</v>
      </c>
      <c r="F83">
        <v>380</v>
      </c>
      <c r="G83">
        <v>348</v>
      </c>
      <c r="H83">
        <v>200</v>
      </c>
      <c r="I83">
        <v>200</v>
      </c>
      <c r="J83">
        <v>24</v>
      </c>
      <c r="K83">
        <v>33</v>
      </c>
      <c r="L83">
        <v>31</v>
      </c>
      <c r="M83">
        <v>26</v>
      </c>
      <c r="N83">
        <v>29</v>
      </c>
      <c r="O83">
        <v>324</v>
      </c>
      <c r="P83">
        <v>256</v>
      </c>
      <c r="Q83">
        <v>247</v>
      </c>
      <c r="R83">
        <v>97</v>
      </c>
      <c r="S83">
        <v>742</v>
      </c>
      <c r="T83">
        <v>239</v>
      </c>
      <c r="U83">
        <v>503</v>
      </c>
      <c r="V83">
        <v>77</v>
      </c>
      <c r="W83">
        <v>145</v>
      </c>
      <c r="X83">
        <v>85</v>
      </c>
      <c r="Y83">
        <v>242</v>
      </c>
      <c r="Z83">
        <v>134</v>
      </c>
      <c r="AA83">
        <v>27</v>
      </c>
      <c r="AB83" t="s">
        <v>84</v>
      </c>
      <c r="AC83" t="s">
        <v>166</v>
      </c>
      <c r="AD83" t="s">
        <v>160</v>
      </c>
    </row>
    <row r="84" spans="1:30">
      <c r="A84" t="s">
        <v>220</v>
      </c>
      <c r="B84" s="16">
        <v>44317</v>
      </c>
      <c r="C84" s="394">
        <v>44386</v>
      </c>
      <c r="D84" t="s">
        <v>86</v>
      </c>
      <c r="E84">
        <v>1670</v>
      </c>
      <c r="F84">
        <v>127</v>
      </c>
      <c r="G84">
        <v>124</v>
      </c>
      <c r="H84">
        <v>109</v>
      </c>
      <c r="I84">
        <v>105</v>
      </c>
      <c r="J84">
        <v>12</v>
      </c>
      <c r="K84">
        <v>21</v>
      </c>
      <c r="L84">
        <v>18</v>
      </c>
      <c r="M84">
        <v>13</v>
      </c>
      <c r="N84">
        <v>3</v>
      </c>
      <c r="O84">
        <v>85</v>
      </c>
      <c r="P84">
        <v>59</v>
      </c>
      <c r="Q84">
        <v>59</v>
      </c>
      <c r="R84">
        <v>59</v>
      </c>
      <c r="S84">
        <v>264</v>
      </c>
      <c r="T84">
        <v>108</v>
      </c>
      <c r="U84">
        <v>156</v>
      </c>
      <c r="V84">
        <v>26</v>
      </c>
      <c r="W84">
        <v>72</v>
      </c>
      <c r="X84">
        <v>30</v>
      </c>
      <c r="Y84">
        <v>77</v>
      </c>
      <c r="Z84">
        <v>23</v>
      </c>
      <c r="AA84">
        <v>11</v>
      </c>
      <c r="AB84" t="s">
        <v>91</v>
      </c>
      <c r="AC84" t="s">
        <v>173</v>
      </c>
      <c r="AD84" t="s">
        <v>168</v>
      </c>
    </row>
    <row r="85" spans="1:30">
      <c r="A85" t="s">
        <v>220</v>
      </c>
      <c r="B85" s="16">
        <v>44317</v>
      </c>
      <c r="C85" s="394">
        <v>44386</v>
      </c>
      <c r="D85" t="s">
        <v>102</v>
      </c>
      <c r="E85">
        <v>12306</v>
      </c>
      <c r="F85">
        <v>756</v>
      </c>
      <c r="G85">
        <v>703</v>
      </c>
      <c r="H85">
        <v>299</v>
      </c>
      <c r="I85">
        <v>564</v>
      </c>
      <c r="J85">
        <v>62</v>
      </c>
      <c r="K85">
        <v>104</v>
      </c>
      <c r="L85">
        <v>4</v>
      </c>
      <c r="M85">
        <v>0</v>
      </c>
      <c r="N85">
        <v>1</v>
      </c>
      <c r="O85">
        <v>549</v>
      </c>
      <c r="P85">
        <v>368</v>
      </c>
      <c r="Q85">
        <v>177</v>
      </c>
      <c r="R85">
        <v>29</v>
      </c>
      <c r="S85">
        <v>1442</v>
      </c>
      <c r="T85">
        <v>601</v>
      </c>
      <c r="U85">
        <v>841</v>
      </c>
      <c r="V85">
        <v>106</v>
      </c>
      <c r="W85">
        <v>328</v>
      </c>
      <c r="X85">
        <v>181</v>
      </c>
      <c r="Y85">
        <v>479</v>
      </c>
      <c r="Z85">
        <v>242</v>
      </c>
      <c r="AA85">
        <v>19</v>
      </c>
      <c r="AB85" t="s">
        <v>103</v>
      </c>
      <c r="AC85" t="s">
        <v>185</v>
      </c>
      <c r="AD85" t="s">
        <v>184</v>
      </c>
    </row>
    <row r="86" spans="1:30">
      <c r="A86" t="s">
        <v>220</v>
      </c>
      <c r="B86" s="16">
        <v>44317</v>
      </c>
      <c r="C86" s="394">
        <v>44386</v>
      </c>
      <c r="D86" t="s">
        <v>100</v>
      </c>
      <c r="E86">
        <v>5879</v>
      </c>
      <c r="F86">
        <v>452</v>
      </c>
      <c r="G86">
        <v>426</v>
      </c>
      <c r="H86">
        <v>145</v>
      </c>
      <c r="I86">
        <v>304</v>
      </c>
      <c r="J86">
        <v>45</v>
      </c>
      <c r="K86">
        <v>66</v>
      </c>
      <c r="L86">
        <v>20</v>
      </c>
      <c r="M86">
        <v>1</v>
      </c>
      <c r="N86">
        <v>4</v>
      </c>
      <c r="O86">
        <v>255</v>
      </c>
      <c r="P86">
        <v>127</v>
      </c>
      <c r="Q86">
        <v>77</v>
      </c>
      <c r="R86">
        <v>53</v>
      </c>
      <c r="S86">
        <v>817</v>
      </c>
      <c r="T86">
        <v>275</v>
      </c>
      <c r="U86">
        <v>542</v>
      </c>
      <c r="V86">
        <v>54</v>
      </c>
      <c r="W86">
        <v>203</v>
      </c>
      <c r="X86">
        <v>109</v>
      </c>
      <c r="Y86">
        <v>297</v>
      </c>
      <c r="Z86">
        <v>154</v>
      </c>
      <c r="AA86">
        <v>31</v>
      </c>
      <c r="AB86" t="s">
        <v>103</v>
      </c>
      <c r="AC86" t="s">
        <v>185</v>
      </c>
      <c r="AD86" t="s">
        <v>182</v>
      </c>
    </row>
    <row r="87" spans="1:30">
      <c r="A87" t="s">
        <v>220</v>
      </c>
      <c r="B87" s="16">
        <v>44317</v>
      </c>
      <c r="C87" s="394">
        <v>44386</v>
      </c>
      <c r="D87" t="s">
        <v>71</v>
      </c>
      <c r="E87">
        <v>5717</v>
      </c>
      <c r="F87">
        <v>345</v>
      </c>
      <c r="G87">
        <v>316</v>
      </c>
      <c r="H87">
        <v>158</v>
      </c>
      <c r="I87">
        <v>191</v>
      </c>
      <c r="J87">
        <v>15</v>
      </c>
      <c r="K87">
        <v>73</v>
      </c>
      <c r="L87">
        <v>39</v>
      </c>
      <c r="M87">
        <v>8</v>
      </c>
      <c r="N87">
        <v>29</v>
      </c>
      <c r="O87">
        <v>326</v>
      </c>
      <c r="P87">
        <v>216</v>
      </c>
      <c r="Q87">
        <v>152</v>
      </c>
      <c r="R87">
        <v>114</v>
      </c>
      <c r="S87">
        <v>1100</v>
      </c>
      <c r="T87">
        <v>394</v>
      </c>
      <c r="U87">
        <v>706</v>
      </c>
      <c r="V87">
        <v>35</v>
      </c>
      <c r="W87">
        <v>285</v>
      </c>
      <c r="X87">
        <v>125</v>
      </c>
      <c r="Y87">
        <v>491</v>
      </c>
      <c r="Z87">
        <v>279</v>
      </c>
      <c r="AA87">
        <v>18</v>
      </c>
      <c r="AB87" t="s">
        <v>74</v>
      </c>
      <c r="AC87" t="s">
        <v>154</v>
      </c>
      <c r="AD87" t="s">
        <v>152</v>
      </c>
    </row>
    <row r="88" spans="1:30">
      <c r="A88" t="s">
        <v>220</v>
      </c>
      <c r="B88" s="16">
        <v>44317</v>
      </c>
      <c r="C88" s="394">
        <v>44386</v>
      </c>
      <c r="D88" t="s">
        <v>95</v>
      </c>
      <c r="E88">
        <v>4550</v>
      </c>
      <c r="F88">
        <v>306</v>
      </c>
      <c r="G88">
        <v>292</v>
      </c>
      <c r="H88">
        <v>75</v>
      </c>
      <c r="I88">
        <v>181</v>
      </c>
      <c r="J88">
        <v>2</v>
      </c>
      <c r="K88">
        <v>33</v>
      </c>
      <c r="L88">
        <v>11</v>
      </c>
      <c r="M88">
        <v>1</v>
      </c>
      <c r="N88">
        <v>5</v>
      </c>
      <c r="O88">
        <v>197</v>
      </c>
      <c r="P88">
        <v>7</v>
      </c>
      <c r="Q88">
        <v>5</v>
      </c>
      <c r="R88">
        <v>4</v>
      </c>
      <c r="S88">
        <v>497</v>
      </c>
      <c r="T88">
        <v>68</v>
      </c>
      <c r="U88">
        <v>429</v>
      </c>
      <c r="V88">
        <v>17</v>
      </c>
      <c r="W88">
        <v>136</v>
      </c>
      <c r="X88">
        <v>76</v>
      </c>
      <c r="Y88">
        <v>189</v>
      </c>
      <c r="Z88">
        <v>94</v>
      </c>
      <c r="AA88">
        <v>1</v>
      </c>
      <c r="AB88" t="s">
        <v>97</v>
      </c>
      <c r="AC88" t="s">
        <v>179</v>
      </c>
      <c r="AD88" t="s">
        <v>177</v>
      </c>
    </row>
    <row r="89" spans="1:30">
      <c r="A89" t="s">
        <v>220</v>
      </c>
      <c r="B89" s="16">
        <v>44317</v>
      </c>
      <c r="C89" s="394">
        <v>44386</v>
      </c>
      <c r="D89" t="s">
        <v>83</v>
      </c>
      <c r="E89">
        <v>3976</v>
      </c>
      <c r="F89">
        <v>362</v>
      </c>
      <c r="G89">
        <v>345</v>
      </c>
      <c r="H89">
        <v>24</v>
      </c>
      <c r="I89">
        <v>193</v>
      </c>
      <c r="J89">
        <v>19</v>
      </c>
      <c r="K89">
        <v>36</v>
      </c>
      <c r="L89">
        <v>10</v>
      </c>
      <c r="M89">
        <v>0</v>
      </c>
      <c r="N89">
        <v>0</v>
      </c>
      <c r="O89">
        <v>199</v>
      </c>
      <c r="P89">
        <v>76</v>
      </c>
      <c r="Q89">
        <v>49</v>
      </c>
      <c r="R89">
        <v>36</v>
      </c>
      <c r="S89">
        <v>660</v>
      </c>
      <c r="T89">
        <v>199</v>
      </c>
      <c r="U89">
        <v>461</v>
      </c>
      <c r="V89">
        <v>22</v>
      </c>
      <c r="W89">
        <v>131</v>
      </c>
      <c r="X89">
        <v>54</v>
      </c>
      <c r="Y89">
        <v>206</v>
      </c>
      <c r="Z89">
        <v>120</v>
      </c>
      <c r="AA89">
        <v>24</v>
      </c>
      <c r="AB89" t="s">
        <v>84</v>
      </c>
      <c r="AC89" t="s">
        <v>166</v>
      </c>
      <c r="AD89" t="s">
        <v>164</v>
      </c>
    </row>
    <row r="90" spans="1:30">
      <c r="A90" t="s">
        <v>220</v>
      </c>
      <c r="B90" s="16">
        <v>44317</v>
      </c>
      <c r="C90" s="394">
        <v>44386</v>
      </c>
      <c r="D90" t="s">
        <v>92</v>
      </c>
      <c r="E90">
        <v>11110</v>
      </c>
      <c r="F90">
        <v>653</v>
      </c>
      <c r="G90">
        <v>616</v>
      </c>
      <c r="H90">
        <v>423</v>
      </c>
      <c r="I90">
        <v>343</v>
      </c>
      <c r="J90">
        <v>33</v>
      </c>
      <c r="K90">
        <v>91</v>
      </c>
      <c r="L90">
        <v>72</v>
      </c>
      <c r="M90">
        <v>43</v>
      </c>
      <c r="N90">
        <v>42</v>
      </c>
      <c r="O90">
        <v>636</v>
      </c>
      <c r="P90">
        <v>366</v>
      </c>
      <c r="Q90">
        <v>280</v>
      </c>
      <c r="R90">
        <v>241</v>
      </c>
      <c r="S90">
        <v>1248</v>
      </c>
      <c r="T90">
        <v>594</v>
      </c>
      <c r="U90">
        <v>654</v>
      </c>
      <c r="V90">
        <v>125</v>
      </c>
      <c r="W90">
        <v>306</v>
      </c>
      <c r="X90">
        <v>145</v>
      </c>
      <c r="Y90">
        <v>438</v>
      </c>
      <c r="Z90">
        <v>196</v>
      </c>
      <c r="AA90">
        <v>3</v>
      </c>
      <c r="AB90" t="s">
        <v>97</v>
      </c>
      <c r="AC90" t="s">
        <v>179</v>
      </c>
      <c r="AD90" t="s">
        <v>174</v>
      </c>
    </row>
    <row r="91" spans="1:30">
      <c r="A91" t="s">
        <v>220</v>
      </c>
      <c r="B91" s="16">
        <v>44317</v>
      </c>
      <c r="C91" s="394">
        <v>44386</v>
      </c>
      <c r="D91" t="s">
        <v>72</v>
      </c>
      <c r="E91">
        <v>5763</v>
      </c>
      <c r="F91">
        <v>332</v>
      </c>
      <c r="G91">
        <v>305</v>
      </c>
      <c r="H91">
        <v>268</v>
      </c>
      <c r="I91">
        <v>85</v>
      </c>
      <c r="J91">
        <v>15</v>
      </c>
      <c r="K91">
        <v>67</v>
      </c>
      <c r="L91">
        <v>43</v>
      </c>
      <c r="M91">
        <v>35</v>
      </c>
      <c r="N91">
        <v>1</v>
      </c>
      <c r="O91">
        <v>355</v>
      </c>
      <c r="P91">
        <v>235</v>
      </c>
      <c r="Q91">
        <v>215</v>
      </c>
      <c r="R91">
        <v>187</v>
      </c>
      <c r="S91">
        <v>809</v>
      </c>
      <c r="T91">
        <v>493</v>
      </c>
      <c r="U91">
        <v>316</v>
      </c>
      <c r="V91">
        <v>82</v>
      </c>
      <c r="W91">
        <v>237</v>
      </c>
      <c r="X91">
        <v>108</v>
      </c>
      <c r="Y91">
        <v>360</v>
      </c>
      <c r="Z91">
        <v>174</v>
      </c>
      <c r="AA91">
        <v>1</v>
      </c>
      <c r="AB91" t="s">
        <v>74</v>
      </c>
      <c r="AC91" t="s">
        <v>154</v>
      </c>
      <c r="AD91" t="s">
        <v>153</v>
      </c>
    </row>
    <row r="92" spans="1:30">
      <c r="A92" t="s">
        <v>220</v>
      </c>
      <c r="B92" s="16">
        <v>44317</v>
      </c>
      <c r="C92" s="394">
        <v>44386</v>
      </c>
      <c r="D92" t="s">
        <v>85</v>
      </c>
      <c r="E92">
        <v>5149</v>
      </c>
      <c r="F92">
        <v>305</v>
      </c>
      <c r="G92">
        <v>289</v>
      </c>
      <c r="H92">
        <v>194</v>
      </c>
      <c r="I92">
        <v>239</v>
      </c>
      <c r="J92">
        <v>69</v>
      </c>
      <c r="K92">
        <v>30</v>
      </c>
      <c r="L92">
        <v>25</v>
      </c>
      <c r="M92">
        <v>21</v>
      </c>
      <c r="N92">
        <v>24</v>
      </c>
      <c r="O92">
        <v>249</v>
      </c>
      <c r="P92">
        <v>183</v>
      </c>
      <c r="Q92">
        <v>180</v>
      </c>
      <c r="R92">
        <v>170</v>
      </c>
      <c r="S92">
        <v>600</v>
      </c>
      <c r="T92">
        <v>269</v>
      </c>
      <c r="U92">
        <v>331</v>
      </c>
      <c r="V92">
        <v>29</v>
      </c>
      <c r="W92">
        <v>151</v>
      </c>
      <c r="X92">
        <v>63</v>
      </c>
      <c r="Y92">
        <v>270</v>
      </c>
      <c r="Z92">
        <v>123</v>
      </c>
      <c r="AA92">
        <v>4</v>
      </c>
      <c r="AB92" t="s">
        <v>91</v>
      </c>
      <c r="AC92" t="s">
        <v>173</v>
      </c>
      <c r="AD92" t="s">
        <v>167</v>
      </c>
    </row>
    <row r="93" spans="1:30">
      <c r="A93" t="s">
        <v>220</v>
      </c>
      <c r="B93" s="16">
        <v>44317</v>
      </c>
      <c r="C93" s="394">
        <v>44386</v>
      </c>
      <c r="D93" t="s">
        <v>88</v>
      </c>
      <c r="E93">
        <v>4681</v>
      </c>
      <c r="F93">
        <v>416</v>
      </c>
      <c r="G93">
        <v>396</v>
      </c>
      <c r="H93">
        <v>305</v>
      </c>
      <c r="I93">
        <v>302</v>
      </c>
      <c r="J93">
        <v>49</v>
      </c>
      <c r="K93">
        <v>56</v>
      </c>
      <c r="L93">
        <v>48</v>
      </c>
      <c r="M93">
        <v>45</v>
      </c>
      <c r="N93">
        <v>27</v>
      </c>
      <c r="O93">
        <v>248</v>
      </c>
      <c r="P93">
        <v>216</v>
      </c>
      <c r="Q93">
        <v>209</v>
      </c>
      <c r="R93">
        <v>201</v>
      </c>
      <c r="S93">
        <v>694</v>
      </c>
      <c r="T93">
        <v>332</v>
      </c>
      <c r="U93">
        <v>362</v>
      </c>
      <c r="V93">
        <v>142</v>
      </c>
      <c r="W93">
        <v>197</v>
      </c>
      <c r="X93">
        <v>81</v>
      </c>
      <c r="Y93">
        <v>277</v>
      </c>
      <c r="Z93">
        <v>147</v>
      </c>
      <c r="AA93">
        <v>1</v>
      </c>
      <c r="AB93" t="s">
        <v>91</v>
      </c>
      <c r="AC93" t="s">
        <v>173</v>
      </c>
      <c r="AD93" t="s">
        <v>170</v>
      </c>
    </row>
    <row r="94" spans="1:30">
      <c r="A94" t="s">
        <v>220</v>
      </c>
      <c r="B94" s="16">
        <v>44317</v>
      </c>
      <c r="C94" s="394">
        <v>44386</v>
      </c>
      <c r="D94" t="s">
        <v>64</v>
      </c>
      <c r="E94">
        <v>5064</v>
      </c>
      <c r="F94">
        <v>281</v>
      </c>
      <c r="G94">
        <v>267</v>
      </c>
      <c r="H94">
        <v>192</v>
      </c>
      <c r="I94">
        <v>183</v>
      </c>
      <c r="J94">
        <v>30</v>
      </c>
      <c r="K94">
        <v>25</v>
      </c>
      <c r="L94">
        <v>22</v>
      </c>
      <c r="M94">
        <v>7</v>
      </c>
      <c r="N94">
        <v>4</v>
      </c>
      <c r="O94">
        <v>180</v>
      </c>
      <c r="P94">
        <v>142</v>
      </c>
      <c r="Q94">
        <v>135</v>
      </c>
      <c r="R94">
        <v>134</v>
      </c>
      <c r="S94">
        <v>520</v>
      </c>
      <c r="T94">
        <v>317</v>
      </c>
      <c r="U94">
        <v>203</v>
      </c>
      <c r="V94">
        <v>48</v>
      </c>
      <c r="W94">
        <v>109</v>
      </c>
      <c r="X94">
        <v>48</v>
      </c>
      <c r="Y94">
        <v>167</v>
      </c>
      <c r="Z94">
        <v>92</v>
      </c>
      <c r="AA94">
        <v>14</v>
      </c>
      <c r="AB94" t="s">
        <v>67</v>
      </c>
      <c r="AC94" t="s">
        <v>148</v>
      </c>
      <c r="AD94" t="s">
        <v>144</v>
      </c>
    </row>
    <row r="95" spans="1:30">
      <c r="A95" t="s">
        <v>220</v>
      </c>
      <c r="B95" s="16">
        <v>44317</v>
      </c>
      <c r="C95" s="394">
        <v>44386</v>
      </c>
      <c r="D95" t="s">
        <v>70</v>
      </c>
      <c r="E95">
        <v>10681</v>
      </c>
      <c r="F95">
        <v>799</v>
      </c>
      <c r="G95">
        <v>756</v>
      </c>
      <c r="H95">
        <v>375</v>
      </c>
      <c r="I95">
        <v>266</v>
      </c>
      <c r="J95">
        <v>23</v>
      </c>
      <c r="K95">
        <v>233</v>
      </c>
      <c r="L95">
        <v>185</v>
      </c>
      <c r="M95">
        <v>90</v>
      </c>
      <c r="N95">
        <v>160</v>
      </c>
      <c r="O95">
        <v>717</v>
      </c>
      <c r="P95">
        <v>398</v>
      </c>
      <c r="Q95">
        <v>373</v>
      </c>
      <c r="R95">
        <v>349</v>
      </c>
      <c r="S95">
        <v>1840</v>
      </c>
      <c r="T95">
        <v>760</v>
      </c>
      <c r="U95">
        <v>1080</v>
      </c>
      <c r="V95">
        <v>187</v>
      </c>
      <c r="W95">
        <v>605</v>
      </c>
      <c r="X95">
        <v>256</v>
      </c>
      <c r="Y95">
        <v>833</v>
      </c>
      <c r="Z95">
        <v>397</v>
      </c>
      <c r="AA95">
        <v>83</v>
      </c>
      <c r="AB95" t="s">
        <v>74</v>
      </c>
      <c r="AC95" t="s">
        <v>154</v>
      </c>
      <c r="AD95" t="s">
        <v>151</v>
      </c>
    </row>
    <row r="96" spans="1:30">
      <c r="A96" t="s">
        <v>220</v>
      </c>
      <c r="B96" s="16">
        <v>44317</v>
      </c>
      <c r="C96" s="394">
        <v>44386</v>
      </c>
      <c r="D96" t="s">
        <v>96</v>
      </c>
      <c r="E96">
        <v>7435</v>
      </c>
      <c r="F96">
        <v>522</v>
      </c>
      <c r="G96">
        <v>501</v>
      </c>
      <c r="H96">
        <v>171</v>
      </c>
      <c r="I96">
        <v>348</v>
      </c>
      <c r="J96">
        <v>27</v>
      </c>
      <c r="K96">
        <v>94</v>
      </c>
      <c r="L96">
        <v>45</v>
      </c>
      <c r="M96">
        <v>32</v>
      </c>
      <c r="N96">
        <v>35</v>
      </c>
      <c r="O96">
        <v>368</v>
      </c>
      <c r="P96">
        <v>145</v>
      </c>
      <c r="Q96">
        <v>118</v>
      </c>
      <c r="R96">
        <v>107</v>
      </c>
      <c r="S96">
        <v>1123</v>
      </c>
      <c r="T96">
        <v>392</v>
      </c>
      <c r="U96">
        <v>731</v>
      </c>
      <c r="V96">
        <v>78</v>
      </c>
      <c r="W96">
        <v>252</v>
      </c>
      <c r="X96">
        <v>111</v>
      </c>
      <c r="Y96">
        <v>396</v>
      </c>
      <c r="Z96">
        <v>188</v>
      </c>
      <c r="AA96">
        <v>16</v>
      </c>
      <c r="AB96" t="s">
        <v>97</v>
      </c>
      <c r="AC96" t="s">
        <v>179</v>
      </c>
      <c r="AD96" t="s">
        <v>178</v>
      </c>
    </row>
    <row r="97" spans="1:30">
      <c r="A97" t="s">
        <v>220</v>
      </c>
      <c r="B97" s="16">
        <v>44317</v>
      </c>
      <c r="C97" s="394">
        <v>44386</v>
      </c>
      <c r="D97" t="s">
        <v>82</v>
      </c>
      <c r="E97">
        <v>6318</v>
      </c>
      <c r="F97">
        <v>492</v>
      </c>
      <c r="G97">
        <v>460</v>
      </c>
      <c r="H97">
        <v>241</v>
      </c>
      <c r="I97">
        <v>389</v>
      </c>
      <c r="J97">
        <v>42</v>
      </c>
      <c r="K97">
        <v>61</v>
      </c>
      <c r="L97">
        <v>47</v>
      </c>
      <c r="M97">
        <v>42</v>
      </c>
      <c r="N97">
        <v>44</v>
      </c>
      <c r="O97">
        <v>336</v>
      </c>
      <c r="P97">
        <v>260</v>
      </c>
      <c r="Q97">
        <v>259</v>
      </c>
      <c r="R97">
        <v>240</v>
      </c>
      <c r="S97">
        <v>695</v>
      </c>
      <c r="T97">
        <v>220</v>
      </c>
      <c r="U97">
        <v>475</v>
      </c>
      <c r="V97">
        <v>43</v>
      </c>
      <c r="W97">
        <v>191</v>
      </c>
      <c r="X97">
        <v>89</v>
      </c>
      <c r="Y97">
        <v>318</v>
      </c>
      <c r="Z97">
        <v>152</v>
      </c>
      <c r="AA97">
        <v>29</v>
      </c>
      <c r="AB97" t="s">
        <v>84</v>
      </c>
      <c r="AC97" t="s">
        <v>166</v>
      </c>
      <c r="AD97" t="s">
        <v>163</v>
      </c>
    </row>
    <row r="98" spans="1:30">
      <c r="A98" t="s">
        <v>220</v>
      </c>
      <c r="B98" s="16">
        <v>44317</v>
      </c>
      <c r="C98" s="394">
        <v>44386</v>
      </c>
      <c r="D98" t="s">
        <v>54</v>
      </c>
      <c r="E98">
        <v>6483</v>
      </c>
      <c r="F98">
        <v>412</v>
      </c>
      <c r="G98">
        <v>374</v>
      </c>
      <c r="H98">
        <v>176</v>
      </c>
      <c r="I98">
        <v>273</v>
      </c>
      <c r="J98">
        <v>26</v>
      </c>
      <c r="K98">
        <v>101</v>
      </c>
      <c r="L98">
        <v>80</v>
      </c>
      <c r="M98">
        <v>50</v>
      </c>
      <c r="N98">
        <v>52</v>
      </c>
      <c r="O98">
        <v>321</v>
      </c>
      <c r="P98">
        <v>269</v>
      </c>
      <c r="Q98">
        <v>259</v>
      </c>
      <c r="R98">
        <v>251</v>
      </c>
      <c r="S98">
        <v>877</v>
      </c>
      <c r="T98">
        <v>409</v>
      </c>
      <c r="U98">
        <v>468</v>
      </c>
      <c r="V98">
        <v>19</v>
      </c>
      <c r="W98">
        <v>266</v>
      </c>
      <c r="X98">
        <v>90</v>
      </c>
      <c r="Y98">
        <v>393</v>
      </c>
      <c r="Z98">
        <v>196</v>
      </c>
      <c r="AA98">
        <v>34</v>
      </c>
      <c r="AB98" t="s">
        <v>67</v>
      </c>
      <c r="AC98" t="s">
        <v>148</v>
      </c>
      <c r="AD98" t="s">
        <v>142</v>
      </c>
    </row>
    <row r="99" spans="1:30">
      <c r="A99" t="s">
        <v>220</v>
      </c>
      <c r="B99" s="16">
        <v>44317</v>
      </c>
      <c r="C99" s="394">
        <v>44386</v>
      </c>
      <c r="D99" t="s">
        <v>89</v>
      </c>
      <c r="E99">
        <v>11704</v>
      </c>
      <c r="F99">
        <v>861</v>
      </c>
      <c r="G99">
        <v>825</v>
      </c>
      <c r="H99">
        <v>521</v>
      </c>
      <c r="I99">
        <v>531</v>
      </c>
      <c r="J99">
        <v>78</v>
      </c>
      <c r="K99">
        <v>123</v>
      </c>
      <c r="L99">
        <v>87</v>
      </c>
      <c r="M99">
        <v>73</v>
      </c>
      <c r="N99">
        <v>75</v>
      </c>
      <c r="O99">
        <v>557</v>
      </c>
      <c r="P99">
        <v>382</v>
      </c>
      <c r="Q99">
        <v>360</v>
      </c>
      <c r="R99">
        <v>332</v>
      </c>
      <c r="S99">
        <v>1784</v>
      </c>
      <c r="T99">
        <v>876</v>
      </c>
      <c r="U99">
        <v>908</v>
      </c>
      <c r="V99">
        <v>259</v>
      </c>
      <c r="W99">
        <v>317</v>
      </c>
      <c r="X99">
        <v>166</v>
      </c>
      <c r="Y99">
        <v>415</v>
      </c>
      <c r="Z99">
        <v>238</v>
      </c>
      <c r="AA99">
        <v>20</v>
      </c>
      <c r="AB99" t="s">
        <v>91</v>
      </c>
      <c r="AC99" t="s">
        <v>173</v>
      </c>
      <c r="AD99" t="s">
        <v>171</v>
      </c>
    </row>
    <row r="100" spans="1:30">
      <c r="A100" t="s">
        <v>220</v>
      </c>
      <c r="B100" s="16">
        <v>44317</v>
      </c>
      <c r="C100" s="394">
        <v>44386</v>
      </c>
      <c r="D100" t="s">
        <v>101</v>
      </c>
      <c r="E100">
        <v>4395</v>
      </c>
      <c r="F100">
        <v>229</v>
      </c>
      <c r="G100">
        <v>217</v>
      </c>
      <c r="H100">
        <v>193</v>
      </c>
      <c r="I100">
        <v>147</v>
      </c>
      <c r="J100">
        <v>54</v>
      </c>
      <c r="K100">
        <v>29</v>
      </c>
      <c r="L100">
        <v>27</v>
      </c>
      <c r="M100">
        <v>24</v>
      </c>
      <c r="N100">
        <v>10</v>
      </c>
      <c r="O100">
        <v>196</v>
      </c>
      <c r="P100">
        <v>176</v>
      </c>
      <c r="Q100">
        <v>170</v>
      </c>
      <c r="R100">
        <v>147</v>
      </c>
      <c r="S100">
        <v>463</v>
      </c>
      <c r="T100">
        <v>284</v>
      </c>
      <c r="U100">
        <v>179</v>
      </c>
      <c r="V100">
        <v>22</v>
      </c>
      <c r="W100">
        <v>83</v>
      </c>
      <c r="X100">
        <v>44</v>
      </c>
      <c r="Y100">
        <v>125</v>
      </c>
      <c r="Z100">
        <v>62</v>
      </c>
      <c r="AA100">
        <v>7</v>
      </c>
      <c r="AB100" t="s">
        <v>103</v>
      </c>
      <c r="AC100" t="s">
        <v>185</v>
      </c>
      <c r="AD100" t="s">
        <v>183</v>
      </c>
    </row>
    <row r="101" spans="1:30">
      <c r="A101" t="s">
        <v>220</v>
      </c>
      <c r="B101" s="16">
        <v>44317</v>
      </c>
      <c r="C101" s="394">
        <v>44386</v>
      </c>
      <c r="D101" t="s">
        <v>66</v>
      </c>
      <c r="E101">
        <v>3238</v>
      </c>
      <c r="F101">
        <v>121</v>
      </c>
      <c r="G101">
        <v>109</v>
      </c>
      <c r="H101">
        <v>79</v>
      </c>
      <c r="I101">
        <v>64</v>
      </c>
      <c r="J101">
        <v>13</v>
      </c>
      <c r="K101">
        <v>40</v>
      </c>
      <c r="L101">
        <v>29</v>
      </c>
      <c r="M101">
        <v>7</v>
      </c>
      <c r="N101">
        <v>0</v>
      </c>
      <c r="O101">
        <v>184</v>
      </c>
      <c r="P101">
        <v>110</v>
      </c>
      <c r="Q101">
        <v>109</v>
      </c>
      <c r="R101">
        <v>109</v>
      </c>
      <c r="S101">
        <v>297</v>
      </c>
      <c r="T101">
        <v>177</v>
      </c>
      <c r="U101">
        <v>120</v>
      </c>
      <c r="V101">
        <v>18</v>
      </c>
      <c r="W101">
        <v>72</v>
      </c>
      <c r="X101">
        <v>30</v>
      </c>
      <c r="Y101">
        <v>103</v>
      </c>
      <c r="Z101">
        <v>51</v>
      </c>
      <c r="AA101">
        <v>16</v>
      </c>
      <c r="AB101" t="s">
        <v>67</v>
      </c>
      <c r="AC101" t="s">
        <v>148</v>
      </c>
      <c r="AD101" t="s">
        <v>146</v>
      </c>
    </row>
    <row r="102" spans="1:30">
      <c r="A102" t="s">
        <v>220</v>
      </c>
      <c r="B102" s="16">
        <v>44317</v>
      </c>
      <c r="C102" s="394">
        <v>44386</v>
      </c>
      <c r="D102" t="s">
        <v>80</v>
      </c>
      <c r="E102">
        <v>5266</v>
      </c>
      <c r="F102">
        <v>354</v>
      </c>
      <c r="G102">
        <v>340</v>
      </c>
      <c r="H102">
        <v>294</v>
      </c>
      <c r="I102">
        <v>102</v>
      </c>
      <c r="J102">
        <v>12</v>
      </c>
      <c r="K102">
        <v>24</v>
      </c>
      <c r="L102">
        <v>23</v>
      </c>
      <c r="M102">
        <v>18</v>
      </c>
      <c r="N102">
        <v>23</v>
      </c>
      <c r="O102">
        <v>226</v>
      </c>
      <c r="P102">
        <v>163</v>
      </c>
      <c r="Q102">
        <v>155</v>
      </c>
      <c r="R102">
        <v>99</v>
      </c>
      <c r="S102">
        <v>590</v>
      </c>
      <c r="T102">
        <v>354</v>
      </c>
      <c r="U102">
        <v>236</v>
      </c>
      <c r="V102">
        <v>105</v>
      </c>
      <c r="W102">
        <v>136</v>
      </c>
      <c r="X102">
        <v>69</v>
      </c>
      <c r="Y102">
        <v>202</v>
      </c>
      <c r="Z102">
        <v>107</v>
      </c>
      <c r="AA102">
        <v>18</v>
      </c>
      <c r="AB102" t="s">
        <v>84</v>
      </c>
      <c r="AC102" t="s">
        <v>166</v>
      </c>
      <c r="AD102" t="s">
        <v>161</v>
      </c>
    </row>
    <row r="103" spans="1:30">
      <c r="A103" t="s">
        <v>220</v>
      </c>
      <c r="B103" s="16">
        <v>44317</v>
      </c>
      <c r="C103" s="394">
        <v>44386</v>
      </c>
      <c r="D103" t="s">
        <v>52</v>
      </c>
      <c r="E103">
        <v>3053</v>
      </c>
      <c r="F103">
        <v>216</v>
      </c>
      <c r="G103">
        <v>198</v>
      </c>
      <c r="H103">
        <v>151</v>
      </c>
      <c r="I103">
        <v>69</v>
      </c>
      <c r="J103">
        <v>10</v>
      </c>
      <c r="K103">
        <v>112</v>
      </c>
      <c r="L103">
        <v>85</v>
      </c>
      <c r="M103">
        <v>45</v>
      </c>
      <c r="N103">
        <v>4</v>
      </c>
      <c r="O103">
        <v>221</v>
      </c>
      <c r="P103">
        <v>168</v>
      </c>
      <c r="Q103">
        <v>158</v>
      </c>
      <c r="R103">
        <v>113</v>
      </c>
      <c r="S103">
        <v>762</v>
      </c>
      <c r="T103">
        <v>497</v>
      </c>
      <c r="U103">
        <v>265</v>
      </c>
      <c r="V103">
        <v>34</v>
      </c>
      <c r="W103">
        <v>215</v>
      </c>
      <c r="X103">
        <v>76</v>
      </c>
      <c r="Y103">
        <v>262</v>
      </c>
      <c r="Z103">
        <v>156</v>
      </c>
      <c r="AA103">
        <v>32</v>
      </c>
      <c r="AB103" t="s">
        <v>67</v>
      </c>
      <c r="AC103" t="s">
        <v>148</v>
      </c>
      <c r="AD103" t="s">
        <v>141</v>
      </c>
    </row>
    <row r="104" spans="1:30">
      <c r="A104" t="s">
        <v>220</v>
      </c>
      <c r="B104" s="16">
        <v>44317</v>
      </c>
      <c r="C104" s="394">
        <v>44386</v>
      </c>
      <c r="D104" t="s">
        <v>87</v>
      </c>
      <c r="E104">
        <v>2985</v>
      </c>
      <c r="F104">
        <v>238</v>
      </c>
      <c r="G104">
        <v>227</v>
      </c>
      <c r="H104">
        <v>187</v>
      </c>
      <c r="I104">
        <v>176</v>
      </c>
      <c r="J104">
        <v>37</v>
      </c>
      <c r="K104">
        <v>24</v>
      </c>
      <c r="L104">
        <v>19</v>
      </c>
      <c r="M104">
        <v>12</v>
      </c>
      <c r="N104">
        <v>14</v>
      </c>
      <c r="O104">
        <v>129</v>
      </c>
      <c r="P104">
        <v>99</v>
      </c>
      <c r="Q104">
        <v>94</v>
      </c>
      <c r="R104">
        <v>87</v>
      </c>
      <c r="S104">
        <v>450</v>
      </c>
      <c r="T104">
        <v>265</v>
      </c>
      <c r="U104">
        <v>185</v>
      </c>
      <c r="V104">
        <v>43</v>
      </c>
      <c r="W104">
        <v>87</v>
      </c>
      <c r="X104">
        <v>42</v>
      </c>
      <c r="Y104">
        <v>117</v>
      </c>
      <c r="Z104">
        <v>78</v>
      </c>
      <c r="AA104">
        <v>12</v>
      </c>
      <c r="AB104" t="s">
        <v>91</v>
      </c>
      <c r="AC104" t="s">
        <v>173</v>
      </c>
      <c r="AD104" t="s">
        <v>169</v>
      </c>
    </row>
    <row r="105" spans="1:30">
      <c r="A105" t="s">
        <v>220</v>
      </c>
      <c r="B105" s="16">
        <v>44317</v>
      </c>
      <c r="C105" s="394">
        <v>44386</v>
      </c>
      <c r="D105" t="s">
        <v>90</v>
      </c>
      <c r="E105">
        <v>2938</v>
      </c>
      <c r="F105">
        <v>213</v>
      </c>
      <c r="G105">
        <v>204</v>
      </c>
      <c r="H105">
        <v>152</v>
      </c>
      <c r="I105">
        <v>143</v>
      </c>
      <c r="J105">
        <v>18</v>
      </c>
      <c r="K105">
        <v>27</v>
      </c>
      <c r="L105">
        <v>25</v>
      </c>
      <c r="M105">
        <v>11</v>
      </c>
      <c r="N105">
        <v>6</v>
      </c>
      <c r="O105">
        <v>93</v>
      </c>
      <c r="P105">
        <v>83</v>
      </c>
      <c r="Q105">
        <v>70</v>
      </c>
      <c r="R105">
        <v>64</v>
      </c>
      <c r="S105">
        <v>337</v>
      </c>
      <c r="T105">
        <v>161</v>
      </c>
      <c r="U105">
        <v>176</v>
      </c>
      <c r="V105">
        <v>39</v>
      </c>
      <c r="W105">
        <v>86</v>
      </c>
      <c r="X105">
        <v>44</v>
      </c>
      <c r="Y105">
        <v>124</v>
      </c>
      <c r="Z105">
        <v>47</v>
      </c>
      <c r="AA105">
        <v>5</v>
      </c>
      <c r="AB105" t="s">
        <v>91</v>
      </c>
      <c r="AC105" t="s">
        <v>173</v>
      </c>
      <c r="AD105" t="s">
        <v>172</v>
      </c>
    </row>
    <row r="106" spans="1:30">
      <c r="A106" t="s">
        <v>220</v>
      </c>
      <c r="B106" s="16">
        <v>44317</v>
      </c>
      <c r="C106" s="394">
        <v>44386</v>
      </c>
      <c r="D106" t="s">
        <v>93</v>
      </c>
      <c r="E106">
        <v>2128</v>
      </c>
      <c r="F106">
        <v>199</v>
      </c>
      <c r="G106">
        <v>191</v>
      </c>
      <c r="H106">
        <v>129</v>
      </c>
      <c r="I106">
        <v>97</v>
      </c>
      <c r="J106">
        <v>8</v>
      </c>
      <c r="K106">
        <v>15</v>
      </c>
      <c r="L106">
        <v>5</v>
      </c>
      <c r="M106">
        <v>4</v>
      </c>
      <c r="N106">
        <v>2</v>
      </c>
      <c r="O106">
        <v>146</v>
      </c>
      <c r="P106">
        <v>105</v>
      </c>
      <c r="Q106">
        <v>98</v>
      </c>
      <c r="R106">
        <v>38</v>
      </c>
      <c r="S106">
        <v>362</v>
      </c>
      <c r="T106">
        <v>107</v>
      </c>
      <c r="U106">
        <v>255</v>
      </c>
      <c r="V106">
        <v>27</v>
      </c>
      <c r="W106">
        <v>87</v>
      </c>
      <c r="X106">
        <v>42</v>
      </c>
      <c r="Y106">
        <v>132</v>
      </c>
      <c r="Z106">
        <v>60</v>
      </c>
      <c r="AA106">
        <v>17</v>
      </c>
      <c r="AB106" t="s">
        <v>97</v>
      </c>
      <c r="AC106" t="s">
        <v>179</v>
      </c>
      <c r="AD106" t="s">
        <v>175</v>
      </c>
    </row>
    <row r="107" spans="1:30">
      <c r="A107" t="s">
        <v>220</v>
      </c>
      <c r="B107" s="16">
        <v>44317</v>
      </c>
      <c r="C107" s="394">
        <v>44386</v>
      </c>
      <c r="D107" t="s">
        <v>81</v>
      </c>
      <c r="E107">
        <v>2713</v>
      </c>
      <c r="F107">
        <v>202</v>
      </c>
      <c r="G107">
        <v>191</v>
      </c>
      <c r="H107">
        <v>36</v>
      </c>
      <c r="I107">
        <v>161</v>
      </c>
      <c r="J107">
        <v>19</v>
      </c>
      <c r="K107">
        <v>14</v>
      </c>
      <c r="L107">
        <v>10</v>
      </c>
      <c r="M107">
        <v>8</v>
      </c>
      <c r="N107">
        <v>10</v>
      </c>
      <c r="O107">
        <v>94</v>
      </c>
      <c r="P107">
        <v>62</v>
      </c>
      <c r="Q107">
        <v>50</v>
      </c>
      <c r="R107">
        <v>43</v>
      </c>
      <c r="S107">
        <v>340</v>
      </c>
      <c r="T107">
        <v>112</v>
      </c>
      <c r="U107">
        <v>228</v>
      </c>
      <c r="V107">
        <v>26</v>
      </c>
      <c r="W107">
        <v>63</v>
      </c>
      <c r="X107">
        <v>28</v>
      </c>
      <c r="Y107">
        <v>129</v>
      </c>
      <c r="Z107">
        <v>57</v>
      </c>
      <c r="AA107">
        <v>7</v>
      </c>
      <c r="AB107" t="s">
        <v>84</v>
      </c>
      <c r="AC107" t="s">
        <v>166</v>
      </c>
      <c r="AD107" t="s">
        <v>162</v>
      </c>
    </row>
    <row r="108" spans="1:30">
      <c r="A108" t="s">
        <v>220</v>
      </c>
      <c r="B108" s="16">
        <v>44317</v>
      </c>
      <c r="C108" s="394">
        <v>44386</v>
      </c>
      <c r="D108" t="s">
        <v>69</v>
      </c>
      <c r="E108">
        <v>6923</v>
      </c>
      <c r="F108">
        <v>475</v>
      </c>
      <c r="G108">
        <v>450</v>
      </c>
      <c r="H108">
        <v>308</v>
      </c>
      <c r="I108">
        <v>164</v>
      </c>
      <c r="J108">
        <v>22</v>
      </c>
      <c r="K108">
        <v>115</v>
      </c>
      <c r="L108">
        <v>108</v>
      </c>
      <c r="M108">
        <v>49</v>
      </c>
      <c r="N108">
        <v>46</v>
      </c>
      <c r="O108">
        <v>452</v>
      </c>
      <c r="P108">
        <v>328</v>
      </c>
      <c r="Q108">
        <v>296</v>
      </c>
      <c r="R108">
        <v>150</v>
      </c>
      <c r="S108">
        <v>1213</v>
      </c>
      <c r="T108">
        <v>473</v>
      </c>
      <c r="U108">
        <v>740</v>
      </c>
      <c r="V108">
        <v>92</v>
      </c>
      <c r="W108">
        <v>302</v>
      </c>
      <c r="X108">
        <v>139</v>
      </c>
      <c r="Y108">
        <v>486</v>
      </c>
      <c r="Z108">
        <v>204</v>
      </c>
      <c r="AA108">
        <v>7</v>
      </c>
      <c r="AB108" t="s">
        <v>74</v>
      </c>
      <c r="AC108" t="s">
        <v>154</v>
      </c>
      <c r="AD108" t="s">
        <v>150</v>
      </c>
    </row>
    <row r="109" spans="1:30">
      <c r="A109" t="s">
        <v>220</v>
      </c>
      <c r="B109" s="16">
        <v>44317</v>
      </c>
      <c r="C109" s="394">
        <v>44386</v>
      </c>
      <c r="D109" t="s">
        <v>65</v>
      </c>
      <c r="E109">
        <v>4936</v>
      </c>
      <c r="F109">
        <v>405</v>
      </c>
      <c r="G109">
        <v>382</v>
      </c>
      <c r="H109">
        <v>108</v>
      </c>
      <c r="I109">
        <v>263</v>
      </c>
      <c r="J109">
        <v>19</v>
      </c>
      <c r="K109">
        <v>80</v>
      </c>
      <c r="L109">
        <v>40</v>
      </c>
      <c r="M109">
        <v>25</v>
      </c>
      <c r="N109">
        <v>24</v>
      </c>
      <c r="O109">
        <v>317</v>
      </c>
      <c r="P109">
        <v>141</v>
      </c>
      <c r="Q109">
        <v>141</v>
      </c>
      <c r="R109">
        <v>141</v>
      </c>
      <c r="S109">
        <v>713</v>
      </c>
      <c r="T109">
        <v>248</v>
      </c>
      <c r="U109">
        <v>465</v>
      </c>
      <c r="V109">
        <v>35</v>
      </c>
      <c r="W109">
        <v>162</v>
      </c>
      <c r="X109">
        <v>84</v>
      </c>
      <c r="Y109">
        <v>272</v>
      </c>
      <c r="Z109">
        <v>106</v>
      </c>
      <c r="AA109">
        <v>25</v>
      </c>
      <c r="AB109" t="s">
        <v>67</v>
      </c>
      <c r="AC109" t="s">
        <v>148</v>
      </c>
      <c r="AD109" t="s">
        <v>145</v>
      </c>
    </row>
    <row r="110" spans="1:30">
      <c r="A110" t="s">
        <v>220</v>
      </c>
      <c r="B110" s="16">
        <v>44348</v>
      </c>
      <c r="C110" s="394">
        <v>44386</v>
      </c>
      <c r="D110" t="s">
        <v>94</v>
      </c>
      <c r="E110">
        <v>6175</v>
      </c>
      <c r="F110">
        <v>513</v>
      </c>
      <c r="G110">
        <v>484</v>
      </c>
      <c r="H110">
        <v>238</v>
      </c>
      <c r="I110">
        <v>323</v>
      </c>
      <c r="J110">
        <v>38</v>
      </c>
      <c r="K110">
        <v>87</v>
      </c>
      <c r="L110">
        <v>49</v>
      </c>
      <c r="M110">
        <v>26</v>
      </c>
      <c r="N110">
        <v>34</v>
      </c>
      <c r="O110">
        <v>319</v>
      </c>
      <c r="P110">
        <v>131</v>
      </c>
      <c r="Q110">
        <v>121</v>
      </c>
      <c r="R110">
        <v>124</v>
      </c>
      <c r="S110">
        <v>897</v>
      </c>
      <c r="T110">
        <v>300</v>
      </c>
      <c r="U110">
        <v>597</v>
      </c>
      <c r="V110">
        <v>70</v>
      </c>
      <c r="W110">
        <v>235</v>
      </c>
      <c r="X110">
        <v>106</v>
      </c>
      <c r="Y110">
        <v>314</v>
      </c>
      <c r="Z110">
        <v>130</v>
      </c>
      <c r="AA110">
        <v>14</v>
      </c>
      <c r="AB110" t="s">
        <v>97</v>
      </c>
      <c r="AC110" t="s">
        <v>179</v>
      </c>
      <c r="AD110" t="s">
        <v>176</v>
      </c>
    </row>
    <row r="111" spans="1:30">
      <c r="A111" t="s">
        <v>220</v>
      </c>
      <c r="B111" s="16">
        <v>44348</v>
      </c>
      <c r="C111" s="394">
        <v>44386</v>
      </c>
      <c r="D111" t="s">
        <v>61</v>
      </c>
      <c r="E111">
        <v>7091</v>
      </c>
      <c r="F111">
        <v>349</v>
      </c>
      <c r="G111">
        <v>321</v>
      </c>
      <c r="H111">
        <v>180</v>
      </c>
      <c r="I111">
        <v>224</v>
      </c>
      <c r="J111">
        <v>37</v>
      </c>
      <c r="K111">
        <v>109</v>
      </c>
      <c r="L111">
        <v>62</v>
      </c>
      <c r="M111">
        <v>16</v>
      </c>
      <c r="N111">
        <v>25</v>
      </c>
      <c r="O111">
        <v>347</v>
      </c>
      <c r="P111">
        <v>220</v>
      </c>
      <c r="Q111">
        <v>216</v>
      </c>
      <c r="R111">
        <v>208</v>
      </c>
      <c r="S111">
        <v>800</v>
      </c>
      <c r="T111">
        <v>433</v>
      </c>
      <c r="U111">
        <v>367</v>
      </c>
      <c r="V111">
        <v>107</v>
      </c>
      <c r="W111">
        <v>154</v>
      </c>
      <c r="X111">
        <v>79</v>
      </c>
      <c r="Y111">
        <v>266</v>
      </c>
      <c r="Z111">
        <v>136</v>
      </c>
      <c r="AA111">
        <v>26</v>
      </c>
      <c r="AB111" t="s">
        <v>67</v>
      </c>
      <c r="AC111" t="s">
        <v>148</v>
      </c>
      <c r="AD111" t="s">
        <v>143</v>
      </c>
    </row>
    <row r="112" spans="1:30">
      <c r="A112" t="s">
        <v>220</v>
      </c>
      <c r="B112" s="16">
        <v>44348</v>
      </c>
      <c r="C112" s="394">
        <v>44386</v>
      </c>
      <c r="D112" t="s">
        <v>98</v>
      </c>
      <c r="E112">
        <v>5234</v>
      </c>
      <c r="F112">
        <v>416</v>
      </c>
      <c r="G112">
        <v>397</v>
      </c>
      <c r="H112">
        <v>303</v>
      </c>
      <c r="I112">
        <v>268</v>
      </c>
      <c r="J112">
        <v>36</v>
      </c>
      <c r="K112">
        <v>57</v>
      </c>
      <c r="L112">
        <v>36</v>
      </c>
      <c r="M112">
        <v>24</v>
      </c>
      <c r="N112">
        <v>28</v>
      </c>
      <c r="O112">
        <v>241</v>
      </c>
      <c r="P112">
        <v>128</v>
      </c>
      <c r="Q112">
        <v>120</v>
      </c>
      <c r="R112">
        <v>123</v>
      </c>
      <c r="S112">
        <v>805</v>
      </c>
      <c r="T112">
        <v>365</v>
      </c>
      <c r="U112">
        <v>440</v>
      </c>
      <c r="V112">
        <v>135</v>
      </c>
      <c r="W112">
        <v>169</v>
      </c>
      <c r="X112">
        <v>99</v>
      </c>
      <c r="Y112">
        <v>290</v>
      </c>
      <c r="Z112">
        <v>140</v>
      </c>
      <c r="AA112">
        <v>10</v>
      </c>
      <c r="AB112" t="s">
        <v>103</v>
      </c>
      <c r="AC112" t="s">
        <v>185</v>
      </c>
      <c r="AD112" t="s">
        <v>180</v>
      </c>
    </row>
    <row r="113" spans="1:30">
      <c r="A113" t="s">
        <v>220</v>
      </c>
      <c r="B113" s="16">
        <v>44348</v>
      </c>
      <c r="C113" s="394">
        <v>44386</v>
      </c>
      <c r="D113" t="s">
        <v>75</v>
      </c>
      <c r="E113">
        <v>7704</v>
      </c>
      <c r="F113">
        <v>731</v>
      </c>
      <c r="G113">
        <v>694</v>
      </c>
      <c r="H113">
        <v>555</v>
      </c>
      <c r="I113">
        <v>332</v>
      </c>
      <c r="J113">
        <v>70</v>
      </c>
      <c r="K113">
        <v>97</v>
      </c>
      <c r="L113">
        <v>91</v>
      </c>
      <c r="M113">
        <v>88</v>
      </c>
      <c r="N113">
        <v>76</v>
      </c>
      <c r="O113">
        <v>329</v>
      </c>
      <c r="P113">
        <v>285</v>
      </c>
      <c r="Q113">
        <v>279</v>
      </c>
      <c r="R113">
        <v>279</v>
      </c>
      <c r="S113">
        <v>1135</v>
      </c>
      <c r="T113">
        <v>595</v>
      </c>
      <c r="U113">
        <v>540</v>
      </c>
      <c r="V113">
        <v>113</v>
      </c>
      <c r="W113">
        <v>351</v>
      </c>
      <c r="X113">
        <v>188</v>
      </c>
      <c r="Y113">
        <v>495</v>
      </c>
      <c r="Z113">
        <v>230</v>
      </c>
      <c r="AA113">
        <v>53</v>
      </c>
      <c r="AB113" t="s">
        <v>77</v>
      </c>
      <c r="AC113" t="s">
        <v>158</v>
      </c>
      <c r="AD113" t="s">
        <v>155</v>
      </c>
    </row>
    <row r="114" spans="1:30">
      <c r="A114" t="s">
        <v>220</v>
      </c>
      <c r="B114" s="16">
        <v>44348</v>
      </c>
      <c r="C114" s="394">
        <v>44386</v>
      </c>
      <c r="D114" t="s">
        <v>99</v>
      </c>
      <c r="E114">
        <v>6212</v>
      </c>
      <c r="F114">
        <v>555</v>
      </c>
      <c r="G114">
        <v>541</v>
      </c>
      <c r="H114">
        <v>483</v>
      </c>
      <c r="I114">
        <v>449</v>
      </c>
      <c r="J114">
        <v>126</v>
      </c>
      <c r="K114">
        <v>38</v>
      </c>
      <c r="L114">
        <v>14</v>
      </c>
      <c r="M114">
        <v>10</v>
      </c>
      <c r="N114">
        <v>12</v>
      </c>
      <c r="O114">
        <v>340</v>
      </c>
      <c r="P114">
        <v>267</v>
      </c>
      <c r="Q114">
        <v>221</v>
      </c>
      <c r="R114">
        <v>235</v>
      </c>
      <c r="S114">
        <v>709</v>
      </c>
      <c r="T114">
        <v>364</v>
      </c>
      <c r="U114">
        <v>345</v>
      </c>
      <c r="V114">
        <v>85</v>
      </c>
      <c r="W114">
        <v>206</v>
      </c>
      <c r="X114">
        <v>132</v>
      </c>
      <c r="Y114">
        <v>337</v>
      </c>
      <c r="Z114">
        <v>160</v>
      </c>
      <c r="AA114">
        <v>17</v>
      </c>
      <c r="AB114" t="s">
        <v>103</v>
      </c>
      <c r="AC114" t="s">
        <v>185</v>
      </c>
      <c r="AD114" t="s">
        <v>221</v>
      </c>
    </row>
    <row r="115" spans="1:30">
      <c r="A115" t="s">
        <v>220</v>
      </c>
      <c r="B115" s="16">
        <v>44348</v>
      </c>
      <c r="C115" s="394">
        <v>44386</v>
      </c>
      <c r="D115" t="s">
        <v>78</v>
      </c>
      <c r="E115">
        <v>12216</v>
      </c>
      <c r="F115">
        <v>784</v>
      </c>
      <c r="G115">
        <v>715</v>
      </c>
      <c r="H115">
        <v>253</v>
      </c>
      <c r="I115">
        <v>584</v>
      </c>
      <c r="J115">
        <v>46</v>
      </c>
      <c r="K115">
        <v>112</v>
      </c>
      <c r="L115">
        <v>73</v>
      </c>
      <c r="M115">
        <v>31</v>
      </c>
      <c r="N115">
        <v>43</v>
      </c>
      <c r="O115">
        <v>603</v>
      </c>
      <c r="P115">
        <v>194</v>
      </c>
      <c r="Q115">
        <v>153</v>
      </c>
      <c r="R115">
        <v>97</v>
      </c>
      <c r="S115">
        <v>1443</v>
      </c>
      <c r="T115">
        <v>352</v>
      </c>
      <c r="U115">
        <v>1091</v>
      </c>
      <c r="V115">
        <v>72</v>
      </c>
      <c r="W115">
        <v>354</v>
      </c>
      <c r="X115">
        <v>157</v>
      </c>
      <c r="Y115">
        <v>547</v>
      </c>
      <c r="Z115">
        <v>214</v>
      </c>
      <c r="AA115">
        <v>52</v>
      </c>
      <c r="AB115" t="s">
        <v>84</v>
      </c>
      <c r="AC115" t="s">
        <v>166</v>
      </c>
      <c r="AD115" t="s">
        <v>159</v>
      </c>
    </row>
    <row r="116" spans="1:30">
      <c r="A116" t="s">
        <v>220</v>
      </c>
      <c r="B116" s="16">
        <v>44348</v>
      </c>
      <c r="C116" s="394">
        <v>44386</v>
      </c>
      <c r="D116" t="s">
        <v>76</v>
      </c>
      <c r="E116">
        <v>8550</v>
      </c>
      <c r="F116">
        <v>795</v>
      </c>
      <c r="G116">
        <v>769</v>
      </c>
      <c r="H116">
        <v>627</v>
      </c>
      <c r="I116">
        <v>446</v>
      </c>
      <c r="J116">
        <v>72</v>
      </c>
      <c r="K116">
        <v>46</v>
      </c>
      <c r="L116">
        <v>44</v>
      </c>
      <c r="M116">
        <v>42</v>
      </c>
      <c r="N116">
        <v>35</v>
      </c>
      <c r="O116">
        <v>430</v>
      </c>
      <c r="P116">
        <v>346</v>
      </c>
      <c r="Q116">
        <v>340</v>
      </c>
      <c r="R116">
        <v>338</v>
      </c>
      <c r="S116">
        <v>1107</v>
      </c>
      <c r="T116">
        <v>543</v>
      </c>
      <c r="U116">
        <v>564</v>
      </c>
      <c r="V116">
        <v>142</v>
      </c>
      <c r="W116">
        <v>346</v>
      </c>
      <c r="X116">
        <v>187</v>
      </c>
      <c r="Y116">
        <v>445</v>
      </c>
      <c r="Z116">
        <v>187</v>
      </c>
      <c r="AA116">
        <v>72</v>
      </c>
      <c r="AB116" t="s">
        <v>77</v>
      </c>
      <c r="AC116" t="s">
        <v>158</v>
      </c>
      <c r="AD116" t="s">
        <v>156</v>
      </c>
    </row>
    <row r="117" spans="1:30">
      <c r="A117" t="s">
        <v>220</v>
      </c>
      <c r="B117" s="16">
        <v>44348</v>
      </c>
      <c r="C117" s="394">
        <v>44386</v>
      </c>
      <c r="D117" t="s">
        <v>79</v>
      </c>
      <c r="E117">
        <v>7987</v>
      </c>
      <c r="F117">
        <v>386</v>
      </c>
      <c r="G117">
        <v>354</v>
      </c>
      <c r="H117">
        <v>208</v>
      </c>
      <c r="I117">
        <v>218</v>
      </c>
      <c r="J117">
        <v>19</v>
      </c>
      <c r="K117">
        <v>33</v>
      </c>
      <c r="L117">
        <v>9</v>
      </c>
      <c r="M117">
        <v>9</v>
      </c>
      <c r="N117">
        <v>7</v>
      </c>
      <c r="O117">
        <v>314</v>
      </c>
      <c r="P117">
        <v>181</v>
      </c>
      <c r="Q117">
        <v>176</v>
      </c>
      <c r="R117">
        <v>110</v>
      </c>
      <c r="S117">
        <v>746</v>
      </c>
      <c r="T117">
        <v>247</v>
      </c>
      <c r="U117">
        <v>499</v>
      </c>
      <c r="V117">
        <v>93</v>
      </c>
      <c r="W117">
        <v>144</v>
      </c>
      <c r="X117">
        <v>83</v>
      </c>
      <c r="Y117">
        <v>244</v>
      </c>
      <c r="Z117">
        <v>136</v>
      </c>
      <c r="AA117">
        <v>27</v>
      </c>
      <c r="AB117" t="s">
        <v>84</v>
      </c>
      <c r="AC117" t="s">
        <v>166</v>
      </c>
      <c r="AD117" t="s">
        <v>160</v>
      </c>
    </row>
    <row r="118" spans="1:30">
      <c r="A118" t="s">
        <v>220</v>
      </c>
      <c r="B118" s="16">
        <v>44348</v>
      </c>
      <c r="C118" s="394">
        <v>44386</v>
      </c>
      <c r="D118" t="s">
        <v>86</v>
      </c>
      <c r="E118">
        <v>1666</v>
      </c>
      <c r="F118">
        <v>125</v>
      </c>
      <c r="G118">
        <v>122</v>
      </c>
      <c r="H118">
        <v>107</v>
      </c>
      <c r="I118">
        <v>104</v>
      </c>
      <c r="J118">
        <v>11</v>
      </c>
      <c r="K118">
        <v>20</v>
      </c>
      <c r="L118">
        <v>16</v>
      </c>
      <c r="M118">
        <v>11</v>
      </c>
      <c r="N118">
        <v>3</v>
      </c>
      <c r="O118">
        <v>84</v>
      </c>
      <c r="P118">
        <v>55</v>
      </c>
      <c r="Q118">
        <v>55</v>
      </c>
      <c r="R118">
        <v>55</v>
      </c>
      <c r="S118">
        <v>262</v>
      </c>
      <c r="T118">
        <v>106</v>
      </c>
      <c r="U118">
        <v>156</v>
      </c>
      <c r="V118">
        <v>27</v>
      </c>
      <c r="W118">
        <v>72</v>
      </c>
      <c r="X118">
        <v>30</v>
      </c>
      <c r="Y118">
        <v>77</v>
      </c>
      <c r="Z118">
        <v>23</v>
      </c>
      <c r="AA118">
        <v>11</v>
      </c>
      <c r="AB118" t="s">
        <v>91</v>
      </c>
      <c r="AC118" t="s">
        <v>173</v>
      </c>
      <c r="AD118" t="s">
        <v>168</v>
      </c>
    </row>
    <row r="119" spans="1:30">
      <c r="A119" t="s">
        <v>220</v>
      </c>
      <c r="B119" s="16">
        <v>44348</v>
      </c>
      <c r="C119" s="394">
        <v>44386</v>
      </c>
      <c r="D119" t="s">
        <v>102</v>
      </c>
      <c r="E119">
        <v>12391</v>
      </c>
      <c r="F119">
        <v>765</v>
      </c>
      <c r="G119">
        <v>712</v>
      </c>
      <c r="H119">
        <v>316</v>
      </c>
      <c r="I119">
        <v>569</v>
      </c>
      <c r="J119">
        <v>68</v>
      </c>
      <c r="K119">
        <v>105</v>
      </c>
      <c r="L119">
        <v>4</v>
      </c>
      <c r="M119">
        <v>0</v>
      </c>
      <c r="N119">
        <v>1</v>
      </c>
      <c r="O119">
        <v>560</v>
      </c>
      <c r="P119">
        <v>235</v>
      </c>
      <c r="Q119">
        <v>104</v>
      </c>
      <c r="R119">
        <v>32</v>
      </c>
      <c r="S119">
        <v>1441</v>
      </c>
      <c r="T119">
        <v>620</v>
      </c>
      <c r="U119">
        <v>821</v>
      </c>
      <c r="V119">
        <v>109</v>
      </c>
      <c r="W119">
        <v>332</v>
      </c>
      <c r="X119">
        <v>183</v>
      </c>
      <c r="Y119">
        <v>485</v>
      </c>
      <c r="Z119">
        <v>243</v>
      </c>
      <c r="AA119">
        <v>20</v>
      </c>
      <c r="AB119" t="s">
        <v>103</v>
      </c>
      <c r="AC119" t="s">
        <v>185</v>
      </c>
      <c r="AD119" t="s">
        <v>184</v>
      </c>
    </row>
    <row r="120" spans="1:30">
      <c r="A120" t="s">
        <v>220</v>
      </c>
      <c r="B120" s="16">
        <v>44348</v>
      </c>
      <c r="C120" s="394">
        <v>44386</v>
      </c>
      <c r="D120" t="s">
        <v>100</v>
      </c>
      <c r="E120">
        <v>5890</v>
      </c>
      <c r="F120">
        <v>453</v>
      </c>
      <c r="G120">
        <v>427</v>
      </c>
      <c r="H120">
        <v>153</v>
      </c>
      <c r="I120">
        <v>303</v>
      </c>
      <c r="J120">
        <v>45</v>
      </c>
      <c r="K120">
        <v>67</v>
      </c>
      <c r="L120">
        <v>19</v>
      </c>
      <c r="M120">
        <v>1</v>
      </c>
      <c r="N120">
        <v>3</v>
      </c>
      <c r="O120">
        <v>255</v>
      </c>
      <c r="P120">
        <v>130</v>
      </c>
      <c r="Q120">
        <v>83</v>
      </c>
      <c r="R120">
        <v>60</v>
      </c>
      <c r="S120">
        <v>815</v>
      </c>
      <c r="T120">
        <v>276</v>
      </c>
      <c r="U120">
        <v>539</v>
      </c>
      <c r="V120">
        <v>62</v>
      </c>
      <c r="W120">
        <v>205</v>
      </c>
      <c r="X120">
        <v>110</v>
      </c>
      <c r="Y120">
        <v>295</v>
      </c>
      <c r="Z120">
        <v>154</v>
      </c>
      <c r="AA120">
        <v>32</v>
      </c>
      <c r="AB120" t="s">
        <v>103</v>
      </c>
      <c r="AC120" t="s">
        <v>185</v>
      </c>
      <c r="AD120" t="s">
        <v>182</v>
      </c>
    </row>
    <row r="121" spans="1:30">
      <c r="A121" t="s">
        <v>220</v>
      </c>
      <c r="B121" s="16">
        <v>44348</v>
      </c>
      <c r="C121" s="394">
        <v>44386</v>
      </c>
      <c r="D121" t="s">
        <v>71</v>
      </c>
      <c r="E121">
        <v>5711</v>
      </c>
      <c r="F121">
        <v>344</v>
      </c>
      <c r="G121">
        <v>315</v>
      </c>
      <c r="H121">
        <v>156</v>
      </c>
      <c r="I121">
        <v>180</v>
      </c>
      <c r="J121">
        <v>16</v>
      </c>
      <c r="K121">
        <v>75</v>
      </c>
      <c r="L121">
        <v>42</v>
      </c>
      <c r="M121">
        <v>8</v>
      </c>
      <c r="N121">
        <v>29</v>
      </c>
      <c r="O121">
        <v>319</v>
      </c>
      <c r="P121">
        <v>162</v>
      </c>
      <c r="Q121">
        <v>121</v>
      </c>
      <c r="R121">
        <v>105</v>
      </c>
      <c r="S121">
        <v>1103</v>
      </c>
      <c r="T121">
        <v>411</v>
      </c>
      <c r="U121">
        <v>692</v>
      </c>
      <c r="V121">
        <v>33</v>
      </c>
      <c r="W121">
        <v>286</v>
      </c>
      <c r="X121">
        <v>126</v>
      </c>
      <c r="Y121">
        <v>494</v>
      </c>
      <c r="Z121">
        <v>281</v>
      </c>
      <c r="AA121">
        <v>16</v>
      </c>
      <c r="AB121" t="s">
        <v>74</v>
      </c>
      <c r="AC121" t="s">
        <v>154</v>
      </c>
      <c r="AD121" t="s">
        <v>152</v>
      </c>
    </row>
    <row r="122" spans="1:30">
      <c r="A122" t="s">
        <v>220</v>
      </c>
      <c r="B122" s="16">
        <v>44348</v>
      </c>
      <c r="C122" s="394">
        <v>44386</v>
      </c>
      <c r="D122" t="s">
        <v>95</v>
      </c>
      <c r="E122">
        <v>4523</v>
      </c>
      <c r="F122">
        <v>300</v>
      </c>
      <c r="G122">
        <v>287</v>
      </c>
      <c r="H122">
        <v>79</v>
      </c>
      <c r="I122">
        <v>176</v>
      </c>
      <c r="J122">
        <v>2</v>
      </c>
      <c r="K122">
        <v>33</v>
      </c>
      <c r="L122">
        <v>10</v>
      </c>
      <c r="M122">
        <v>1</v>
      </c>
      <c r="N122">
        <v>5</v>
      </c>
      <c r="O122">
        <v>201</v>
      </c>
      <c r="P122">
        <v>7</v>
      </c>
      <c r="Q122">
        <v>6</v>
      </c>
      <c r="R122">
        <v>5</v>
      </c>
      <c r="S122">
        <v>485</v>
      </c>
      <c r="T122">
        <v>60</v>
      </c>
      <c r="U122">
        <v>425</v>
      </c>
      <c r="V122">
        <v>22</v>
      </c>
      <c r="W122">
        <v>129</v>
      </c>
      <c r="X122">
        <v>73</v>
      </c>
      <c r="Y122">
        <v>180</v>
      </c>
      <c r="Z122">
        <v>94</v>
      </c>
      <c r="AA122">
        <v>2</v>
      </c>
      <c r="AB122" t="s">
        <v>97</v>
      </c>
      <c r="AC122" t="s">
        <v>179</v>
      </c>
      <c r="AD122" t="s">
        <v>177</v>
      </c>
    </row>
    <row r="123" spans="1:30">
      <c r="A123" t="s">
        <v>220</v>
      </c>
      <c r="B123" s="16">
        <v>44348</v>
      </c>
      <c r="C123" s="394">
        <v>44386</v>
      </c>
      <c r="D123" t="s">
        <v>83</v>
      </c>
      <c r="E123">
        <v>3985</v>
      </c>
      <c r="F123">
        <v>363</v>
      </c>
      <c r="G123">
        <v>345</v>
      </c>
      <c r="H123">
        <v>38</v>
      </c>
      <c r="I123">
        <v>190</v>
      </c>
      <c r="J123">
        <v>20</v>
      </c>
      <c r="K123">
        <v>36</v>
      </c>
      <c r="L123">
        <v>11</v>
      </c>
      <c r="M123">
        <v>0</v>
      </c>
      <c r="N123">
        <v>0</v>
      </c>
      <c r="O123">
        <v>200</v>
      </c>
      <c r="P123">
        <v>88</v>
      </c>
      <c r="Q123">
        <v>65</v>
      </c>
      <c r="R123">
        <v>57</v>
      </c>
      <c r="S123">
        <v>662</v>
      </c>
      <c r="T123">
        <v>199</v>
      </c>
      <c r="U123">
        <v>463</v>
      </c>
      <c r="V123">
        <v>24</v>
      </c>
      <c r="W123">
        <v>132</v>
      </c>
      <c r="X123">
        <v>56</v>
      </c>
      <c r="Y123">
        <v>212</v>
      </c>
      <c r="Z123">
        <v>124</v>
      </c>
      <c r="AA123">
        <v>23</v>
      </c>
      <c r="AB123" t="s">
        <v>84</v>
      </c>
      <c r="AC123" t="s">
        <v>166</v>
      </c>
      <c r="AD123" t="s">
        <v>164</v>
      </c>
    </row>
    <row r="124" spans="1:30">
      <c r="A124" t="s">
        <v>220</v>
      </c>
      <c r="B124" s="16">
        <v>44348</v>
      </c>
      <c r="C124" s="394">
        <v>44386</v>
      </c>
      <c r="D124" t="s">
        <v>92</v>
      </c>
      <c r="E124">
        <v>11222</v>
      </c>
      <c r="F124">
        <v>661</v>
      </c>
      <c r="G124">
        <v>624</v>
      </c>
      <c r="H124">
        <v>433</v>
      </c>
      <c r="I124">
        <v>342</v>
      </c>
      <c r="J124">
        <v>36</v>
      </c>
      <c r="K124">
        <v>90</v>
      </c>
      <c r="L124">
        <v>74</v>
      </c>
      <c r="M124">
        <v>44</v>
      </c>
      <c r="N124">
        <v>44</v>
      </c>
      <c r="O124">
        <v>626</v>
      </c>
      <c r="P124">
        <v>378</v>
      </c>
      <c r="Q124">
        <v>306</v>
      </c>
      <c r="R124">
        <v>277</v>
      </c>
      <c r="S124">
        <v>1253</v>
      </c>
      <c r="T124">
        <v>624</v>
      </c>
      <c r="U124">
        <v>629</v>
      </c>
      <c r="V124">
        <v>143</v>
      </c>
      <c r="W124">
        <v>305</v>
      </c>
      <c r="X124">
        <v>146</v>
      </c>
      <c r="Y124">
        <v>444</v>
      </c>
      <c r="Z124">
        <v>200</v>
      </c>
      <c r="AA124">
        <v>4</v>
      </c>
      <c r="AB124" t="s">
        <v>97</v>
      </c>
      <c r="AC124" t="s">
        <v>179</v>
      </c>
      <c r="AD124" t="s">
        <v>174</v>
      </c>
    </row>
    <row r="125" spans="1:30">
      <c r="A125" t="s">
        <v>220</v>
      </c>
      <c r="B125" s="16">
        <v>44348</v>
      </c>
      <c r="C125" s="394">
        <v>44386</v>
      </c>
      <c r="D125" t="s">
        <v>72</v>
      </c>
      <c r="E125">
        <v>5814</v>
      </c>
      <c r="F125">
        <v>336</v>
      </c>
      <c r="G125">
        <v>309</v>
      </c>
      <c r="H125">
        <v>260</v>
      </c>
      <c r="I125">
        <v>83</v>
      </c>
      <c r="J125">
        <v>12</v>
      </c>
      <c r="K125">
        <v>66</v>
      </c>
      <c r="L125">
        <v>45</v>
      </c>
      <c r="M125">
        <v>36</v>
      </c>
      <c r="N125">
        <v>1</v>
      </c>
      <c r="O125">
        <v>362</v>
      </c>
      <c r="P125">
        <v>239</v>
      </c>
      <c r="Q125">
        <v>219</v>
      </c>
      <c r="R125">
        <v>195</v>
      </c>
      <c r="S125">
        <v>815</v>
      </c>
      <c r="T125">
        <v>521</v>
      </c>
      <c r="U125">
        <v>294</v>
      </c>
      <c r="V125">
        <v>86</v>
      </c>
      <c r="W125">
        <v>241</v>
      </c>
      <c r="X125">
        <v>107</v>
      </c>
      <c r="Y125">
        <v>365</v>
      </c>
      <c r="Z125">
        <v>184</v>
      </c>
      <c r="AA125">
        <v>5</v>
      </c>
      <c r="AB125" t="s">
        <v>74</v>
      </c>
      <c r="AC125" t="s">
        <v>154</v>
      </c>
      <c r="AD125" t="s">
        <v>153</v>
      </c>
    </row>
    <row r="126" spans="1:30">
      <c r="A126" t="s">
        <v>220</v>
      </c>
      <c r="B126" s="16">
        <v>44348</v>
      </c>
      <c r="C126" s="394">
        <v>44386</v>
      </c>
      <c r="D126" t="s">
        <v>85</v>
      </c>
      <c r="E126">
        <v>5179</v>
      </c>
      <c r="F126">
        <v>306</v>
      </c>
      <c r="G126">
        <v>290</v>
      </c>
      <c r="H126">
        <v>201</v>
      </c>
      <c r="I126">
        <v>239</v>
      </c>
      <c r="J126">
        <v>69</v>
      </c>
      <c r="K126">
        <v>30</v>
      </c>
      <c r="L126">
        <v>24</v>
      </c>
      <c r="M126">
        <v>20</v>
      </c>
      <c r="N126">
        <v>23</v>
      </c>
      <c r="O126">
        <v>262</v>
      </c>
      <c r="P126">
        <v>190</v>
      </c>
      <c r="Q126">
        <v>186</v>
      </c>
      <c r="R126">
        <v>175</v>
      </c>
      <c r="S126">
        <v>604</v>
      </c>
      <c r="T126">
        <v>273</v>
      </c>
      <c r="U126">
        <v>331</v>
      </c>
      <c r="V126">
        <v>34</v>
      </c>
      <c r="W126">
        <v>151</v>
      </c>
      <c r="X126">
        <v>62</v>
      </c>
      <c r="Y126">
        <v>272</v>
      </c>
      <c r="Z126">
        <v>125</v>
      </c>
      <c r="AA126">
        <v>5</v>
      </c>
      <c r="AB126" t="s">
        <v>91</v>
      </c>
      <c r="AC126" t="s">
        <v>173</v>
      </c>
      <c r="AD126" t="s">
        <v>167</v>
      </c>
    </row>
    <row r="127" spans="1:30">
      <c r="A127" t="s">
        <v>220</v>
      </c>
      <c r="B127" s="16">
        <v>44348</v>
      </c>
      <c r="C127" s="394">
        <v>44386</v>
      </c>
      <c r="D127" t="s">
        <v>88</v>
      </c>
      <c r="E127">
        <v>4676</v>
      </c>
      <c r="F127">
        <v>418</v>
      </c>
      <c r="G127">
        <v>398</v>
      </c>
      <c r="H127">
        <v>301</v>
      </c>
      <c r="I127">
        <v>303</v>
      </c>
      <c r="J127">
        <v>51</v>
      </c>
      <c r="K127">
        <v>56</v>
      </c>
      <c r="L127">
        <v>45</v>
      </c>
      <c r="M127">
        <v>42</v>
      </c>
      <c r="N127">
        <v>28</v>
      </c>
      <c r="O127">
        <v>247</v>
      </c>
      <c r="P127">
        <v>179</v>
      </c>
      <c r="Q127">
        <v>176</v>
      </c>
      <c r="R127">
        <v>170</v>
      </c>
      <c r="S127">
        <v>697</v>
      </c>
      <c r="T127">
        <v>335</v>
      </c>
      <c r="U127">
        <v>362</v>
      </c>
      <c r="V127">
        <v>147</v>
      </c>
      <c r="W127">
        <v>197</v>
      </c>
      <c r="X127">
        <v>82</v>
      </c>
      <c r="Y127">
        <v>277</v>
      </c>
      <c r="Z127">
        <v>147</v>
      </c>
      <c r="AA127">
        <v>1</v>
      </c>
      <c r="AB127" t="s">
        <v>91</v>
      </c>
      <c r="AC127" t="s">
        <v>173</v>
      </c>
      <c r="AD127" t="s">
        <v>170</v>
      </c>
    </row>
    <row r="128" spans="1:30">
      <c r="A128" t="s">
        <v>220</v>
      </c>
      <c r="B128" s="16">
        <v>44348</v>
      </c>
      <c r="C128" s="394">
        <v>44386</v>
      </c>
      <c r="D128" t="s">
        <v>64</v>
      </c>
      <c r="E128">
        <v>5102</v>
      </c>
      <c r="F128">
        <v>282</v>
      </c>
      <c r="G128">
        <v>268</v>
      </c>
      <c r="H128">
        <v>191</v>
      </c>
      <c r="I128">
        <v>190</v>
      </c>
      <c r="J128">
        <v>32</v>
      </c>
      <c r="K128">
        <v>24</v>
      </c>
      <c r="L128">
        <v>21</v>
      </c>
      <c r="M128">
        <v>7</v>
      </c>
      <c r="N128">
        <v>5</v>
      </c>
      <c r="O128">
        <v>178</v>
      </c>
      <c r="P128">
        <v>135</v>
      </c>
      <c r="Q128">
        <v>128</v>
      </c>
      <c r="R128">
        <v>127</v>
      </c>
      <c r="S128">
        <v>523</v>
      </c>
      <c r="T128">
        <v>311</v>
      </c>
      <c r="U128">
        <v>212</v>
      </c>
      <c r="V128">
        <v>55</v>
      </c>
      <c r="W128">
        <v>109</v>
      </c>
      <c r="X128">
        <v>45</v>
      </c>
      <c r="Y128">
        <v>168</v>
      </c>
      <c r="Z128">
        <v>92</v>
      </c>
      <c r="AA128">
        <v>15</v>
      </c>
      <c r="AB128" t="s">
        <v>67</v>
      </c>
      <c r="AC128" t="s">
        <v>148</v>
      </c>
      <c r="AD128" t="s">
        <v>144</v>
      </c>
    </row>
    <row r="129" spans="1:30">
      <c r="A129" t="s">
        <v>220</v>
      </c>
      <c r="B129" s="16">
        <v>44348</v>
      </c>
      <c r="C129" s="394">
        <v>44386</v>
      </c>
      <c r="D129" t="s">
        <v>70</v>
      </c>
      <c r="E129">
        <v>10666</v>
      </c>
      <c r="F129">
        <v>796</v>
      </c>
      <c r="G129">
        <v>753</v>
      </c>
      <c r="H129">
        <v>370</v>
      </c>
      <c r="I129">
        <v>274</v>
      </c>
      <c r="J129">
        <v>23</v>
      </c>
      <c r="K129">
        <v>231</v>
      </c>
      <c r="L129">
        <v>177</v>
      </c>
      <c r="M129">
        <v>83</v>
      </c>
      <c r="N129">
        <v>155</v>
      </c>
      <c r="O129">
        <v>704</v>
      </c>
      <c r="P129">
        <v>351</v>
      </c>
      <c r="Q129">
        <v>333</v>
      </c>
      <c r="R129">
        <v>321</v>
      </c>
      <c r="S129">
        <v>1832</v>
      </c>
      <c r="T129">
        <v>756</v>
      </c>
      <c r="U129">
        <v>1076</v>
      </c>
      <c r="V129">
        <v>204</v>
      </c>
      <c r="W129">
        <v>603</v>
      </c>
      <c r="X129">
        <v>256</v>
      </c>
      <c r="Y129">
        <v>829</v>
      </c>
      <c r="Z129">
        <v>392</v>
      </c>
      <c r="AA129">
        <v>72</v>
      </c>
      <c r="AB129" t="s">
        <v>74</v>
      </c>
      <c r="AC129" t="s">
        <v>154</v>
      </c>
      <c r="AD129" t="s">
        <v>151</v>
      </c>
    </row>
    <row r="130" spans="1:30">
      <c r="A130" t="s">
        <v>220</v>
      </c>
      <c r="B130" s="16">
        <v>44348</v>
      </c>
      <c r="C130" s="394">
        <v>44386</v>
      </c>
      <c r="D130" t="s">
        <v>96</v>
      </c>
      <c r="E130">
        <v>7424</v>
      </c>
      <c r="F130">
        <v>525</v>
      </c>
      <c r="G130">
        <v>503</v>
      </c>
      <c r="H130">
        <v>181</v>
      </c>
      <c r="I130">
        <v>345</v>
      </c>
      <c r="J130">
        <v>29</v>
      </c>
      <c r="K130">
        <v>94</v>
      </c>
      <c r="L130">
        <v>57</v>
      </c>
      <c r="M130">
        <v>39</v>
      </c>
      <c r="N130">
        <v>49</v>
      </c>
      <c r="O130">
        <v>364</v>
      </c>
      <c r="P130">
        <v>154</v>
      </c>
      <c r="Q130">
        <v>126</v>
      </c>
      <c r="R130">
        <v>116</v>
      </c>
      <c r="S130">
        <v>1126</v>
      </c>
      <c r="T130">
        <v>397</v>
      </c>
      <c r="U130">
        <v>729</v>
      </c>
      <c r="V130">
        <v>97</v>
      </c>
      <c r="W130">
        <v>257</v>
      </c>
      <c r="X130">
        <v>114</v>
      </c>
      <c r="Y130">
        <v>400</v>
      </c>
      <c r="Z130">
        <v>185</v>
      </c>
      <c r="AA130">
        <v>16</v>
      </c>
      <c r="AB130" t="s">
        <v>97</v>
      </c>
      <c r="AC130" t="s">
        <v>179</v>
      </c>
      <c r="AD130" t="s">
        <v>178</v>
      </c>
    </row>
    <row r="131" spans="1:30">
      <c r="A131" t="s">
        <v>220</v>
      </c>
      <c r="B131" s="16">
        <v>44348</v>
      </c>
      <c r="C131" s="394">
        <v>44386</v>
      </c>
      <c r="D131" t="s">
        <v>82</v>
      </c>
      <c r="E131">
        <v>6313</v>
      </c>
      <c r="F131">
        <v>497</v>
      </c>
      <c r="G131">
        <v>465</v>
      </c>
      <c r="H131">
        <v>250</v>
      </c>
      <c r="I131">
        <v>395</v>
      </c>
      <c r="J131">
        <v>43</v>
      </c>
      <c r="K131">
        <v>60</v>
      </c>
      <c r="L131">
        <v>44</v>
      </c>
      <c r="M131">
        <v>41</v>
      </c>
      <c r="N131">
        <v>41</v>
      </c>
      <c r="O131">
        <v>340</v>
      </c>
      <c r="P131">
        <v>263</v>
      </c>
      <c r="Q131">
        <v>261</v>
      </c>
      <c r="R131">
        <v>247</v>
      </c>
      <c r="S131">
        <v>696</v>
      </c>
      <c r="T131">
        <v>229</v>
      </c>
      <c r="U131">
        <v>467</v>
      </c>
      <c r="V131">
        <v>46</v>
      </c>
      <c r="W131">
        <v>191</v>
      </c>
      <c r="X131">
        <v>90</v>
      </c>
      <c r="Y131">
        <v>320</v>
      </c>
      <c r="Z131">
        <v>157</v>
      </c>
      <c r="AA131">
        <v>29</v>
      </c>
      <c r="AB131" t="s">
        <v>84</v>
      </c>
      <c r="AC131" t="s">
        <v>166</v>
      </c>
      <c r="AD131" t="s">
        <v>163</v>
      </c>
    </row>
    <row r="132" spans="1:30">
      <c r="A132" t="s">
        <v>220</v>
      </c>
      <c r="B132" s="16">
        <v>44348</v>
      </c>
      <c r="C132" s="394">
        <v>44386</v>
      </c>
      <c r="D132" t="s">
        <v>54</v>
      </c>
      <c r="E132">
        <v>6481</v>
      </c>
      <c r="F132">
        <v>416</v>
      </c>
      <c r="G132">
        <v>377</v>
      </c>
      <c r="H132">
        <v>183</v>
      </c>
      <c r="I132">
        <v>274</v>
      </c>
      <c r="J132">
        <v>25</v>
      </c>
      <c r="K132">
        <v>102</v>
      </c>
      <c r="L132">
        <v>78</v>
      </c>
      <c r="M132">
        <v>50</v>
      </c>
      <c r="N132">
        <v>53</v>
      </c>
      <c r="O132">
        <v>324</v>
      </c>
      <c r="P132">
        <v>263</v>
      </c>
      <c r="Q132">
        <v>251</v>
      </c>
      <c r="R132">
        <v>245</v>
      </c>
      <c r="S132">
        <v>879</v>
      </c>
      <c r="T132">
        <v>422</v>
      </c>
      <c r="U132">
        <v>457</v>
      </c>
      <c r="V132">
        <v>21</v>
      </c>
      <c r="W132">
        <v>264</v>
      </c>
      <c r="X132">
        <v>87</v>
      </c>
      <c r="Y132">
        <v>387</v>
      </c>
      <c r="Z132">
        <v>197</v>
      </c>
      <c r="AA132">
        <v>33</v>
      </c>
      <c r="AB132" t="s">
        <v>67</v>
      </c>
      <c r="AC132" t="s">
        <v>148</v>
      </c>
      <c r="AD132" t="s">
        <v>142</v>
      </c>
    </row>
    <row r="133" spans="1:30">
      <c r="A133" t="s">
        <v>220</v>
      </c>
      <c r="B133" s="16">
        <v>44348</v>
      </c>
      <c r="C133" s="394">
        <v>44386</v>
      </c>
      <c r="D133" t="s">
        <v>89</v>
      </c>
      <c r="E133">
        <v>11707</v>
      </c>
      <c r="F133">
        <v>864</v>
      </c>
      <c r="G133">
        <v>828</v>
      </c>
      <c r="H133">
        <v>535</v>
      </c>
      <c r="I133">
        <v>520</v>
      </c>
      <c r="J133">
        <v>70</v>
      </c>
      <c r="K133">
        <v>119</v>
      </c>
      <c r="L133">
        <v>87</v>
      </c>
      <c r="M133">
        <v>74</v>
      </c>
      <c r="N133">
        <v>77</v>
      </c>
      <c r="O133">
        <v>559</v>
      </c>
      <c r="P133">
        <v>386</v>
      </c>
      <c r="Q133">
        <v>364</v>
      </c>
      <c r="R133">
        <v>341</v>
      </c>
      <c r="S133">
        <v>1780</v>
      </c>
      <c r="T133">
        <v>884</v>
      </c>
      <c r="U133">
        <v>896</v>
      </c>
      <c r="V133">
        <v>274</v>
      </c>
      <c r="W133">
        <v>314</v>
      </c>
      <c r="X133">
        <v>166</v>
      </c>
      <c r="Y133">
        <v>411</v>
      </c>
      <c r="Z133">
        <v>235</v>
      </c>
      <c r="AA133">
        <v>20</v>
      </c>
      <c r="AB133" t="s">
        <v>91</v>
      </c>
      <c r="AC133" t="s">
        <v>173</v>
      </c>
      <c r="AD133" t="s">
        <v>171</v>
      </c>
    </row>
    <row r="134" spans="1:30">
      <c r="A134" t="s">
        <v>220</v>
      </c>
      <c r="B134" s="16">
        <v>44348</v>
      </c>
      <c r="C134" s="394">
        <v>44386</v>
      </c>
      <c r="D134" t="s">
        <v>101</v>
      </c>
      <c r="E134">
        <v>4431</v>
      </c>
      <c r="F134">
        <v>228</v>
      </c>
      <c r="G134">
        <v>215</v>
      </c>
      <c r="H134">
        <v>196</v>
      </c>
      <c r="I134">
        <v>144</v>
      </c>
      <c r="J134">
        <v>54</v>
      </c>
      <c r="K134">
        <v>29</v>
      </c>
      <c r="L134">
        <v>24</v>
      </c>
      <c r="M134">
        <v>22</v>
      </c>
      <c r="N134">
        <v>10</v>
      </c>
      <c r="O134">
        <v>196</v>
      </c>
      <c r="P134">
        <v>173</v>
      </c>
      <c r="Q134">
        <v>171</v>
      </c>
      <c r="R134">
        <v>154</v>
      </c>
      <c r="S134">
        <v>463</v>
      </c>
      <c r="T134">
        <v>280</v>
      </c>
      <c r="U134">
        <v>183</v>
      </c>
      <c r="V134">
        <v>28</v>
      </c>
      <c r="W134">
        <v>83</v>
      </c>
      <c r="X134">
        <v>44</v>
      </c>
      <c r="Y134">
        <v>127</v>
      </c>
      <c r="Z134">
        <v>62</v>
      </c>
      <c r="AA134">
        <v>8</v>
      </c>
      <c r="AB134" t="s">
        <v>103</v>
      </c>
      <c r="AC134" t="s">
        <v>185</v>
      </c>
      <c r="AD134" t="s">
        <v>183</v>
      </c>
    </row>
    <row r="135" spans="1:30">
      <c r="A135" t="s">
        <v>220</v>
      </c>
      <c r="B135" s="16">
        <v>44348</v>
      </c>
      <c r="C135" s="394">
        <v>44386</v>
      </c>
      <c r="D135" t="s">
        <v>66</v>
      </c>
      <c r="E135">
        <v>3243</v>
      </c>
      <c r="F135">
        <v>123</v>
      </c>
      <c r="G135">
        <v>111</v>
      </c>
      <c r="H135">
        <v>80</v>
      </c>
      <c r="I135">
        <v>63</v>
      </c>
      <c r="J135">
        <v>12</v>
      </c>
      <c r="K135">
        <v>40</v>
      </c>
      <c r="L135">
        <v>29</v>
      </c>
      <c r="M135">
        <v>7</v>
      </c>
      <c r="N135">
        <v>1</v>
      </c>
      <c r="O135">
        <v>182</v>
      </c>
      <c r="P135">
        <v>111</v>
      </c>
      <c r="Q135">
        <v>110</v>
      </c>
      <c r="R135">
        <v>110</v>
      </c>
      <c r="S135">
        <v>294</v>
      </c>
      <c r="T135">
        <v>173</v>
      </c>
      <c r="U135">
        <v>121</v>
      </c>
      <c r="V135">
        <v>18</v>
      </c>
      <c r="W135">
        <v>72</v>
      </c>
      <c r="X135">
        <v>32</v>
      </c>
      <c r="Y135">
        <v>106</v>
      </c>
      <c r="Z135">
        <v>51</v>
      </c>
      <c r="AA135">
        <v>16</v>
      </c>
      <c r="AB135" t="s">
        <v>67</v>
      </c>
      <c r="AC135" t="s">
        <v>148</v>
      </c>
      <c r="AD135" t="s">
        <v>146</v>
      </c>
    </row>
    <row r="136" spans="1:30">
      <c r="A136" t="s">
        <v>220</v>
      </c>
      <c r="B136" s="16">
        <v>44348</v>
      </c>
      <c r="C136" s="394">
        <v>44386</v>
      </c>
      <c r="D136" t="s">
        <v>80</v>
      </c>
      <c r="E136">
        <v>5383</v>
      </c>
      <c r="F136">
        <v>360</v>
      </c>
      <c r="G136">
        <v>345</v>
      </c>
      <c r="H136">
        <v>298</v>
      </c>
      <c r="I136">
        <v>89</v>
      </c>
      <c r="J136">
        <v>6</v>
      </c>
      <c r="K136">
        <v>24</v>
      </c>
      <c r="L136">
        <v>23</v>
      </c>
      <c r="M136">
        <v>18</v>
      </c>
      <c r="N136">
        <v>23</v>
      </c>
      <c r="O136">
        <v>224</v>
      </c>
      <c r="P136">
        <v>137</v>
      </c>
      <c r="Q136">
        <v>131</v>
      </c>
      <c r="R136">
        <v>131</v>
      </c>
      <c r="S136">
        <v>608</v>
      </c>
      <c r="T136">
        <v>362</v>
      </c>
      <c r="U136">
        <v>246</v>
      </c>
      <c r="V136">
        <v>121</v>
      </c>
      <c r="W136">
        <v>137</v>
      </c>
      <c r="X136">
        <v>70</v>
      </c>
      <c r="Y136">
        <v>204</v>
      </c>
      <c r="Z136">
        <v>110</v>
      </c>
      <c r="AA136">
        <v>17</v>
      </c>
      <c r="AB136" t="s">
        <v>84</v>
      </c>
      <c r="AC136" t="s">
        <v>166</v>
      </c>
      <c r="AD136" t="s">
        <v>161</v>
      </c>
    </row>
    <row r="137" spans="1:30">
      <c r="A137" t="s">
        <v>220</v>
      </c>
      <c r="B137" s="16">
        <v>44348</v>
      </c>
      <c r="C137" s="394">
        <v>44386</v>
      </c>
      <c r="D137" t="s">
        <v>52</v>
      </c>
      <c r="E137">
        <v>3054</v>
      </c>
      <c r="F137">
        <v>215</v>
      </c>
      <c r="G137">
        <v>198</v>
      </c>
      <c r="H137">
        <v>139</v>
      </c>
      <c r="I137">
        <v>66</v>
      </c>
      <c r="J137">
        <v>8</v>
      </c>
      <c r="K137">
        <v>111</v>
      </c>
      <c r="L137">
        <v>79</v>
      </c>
      <c r="M137">
        <v>41</v>
      </c>
      <c r="N137">
        <v>5</v>
      </c>
      <c r="O137">
        <v>220</v>
      </c>
      <c r="P137">
        <v>142</v>
      </c>
      <c r="Q137">
        <v>137</v>
      </c>
      <c r="R137">
        <v>102</v>
      </c>
      <c r="S137">
        <v>756</v>
      </c>
      <c r="T137">
        <v>502</v>
      </c>
      <c r="U137">
        <v>254</v>
      </c>
      <c r="V137">
        <v>37</v>
      </c>
      <c r="W137">
        <v>216</v>
      </c>
      <c r="X137">
        <v>75</v>
      </c>
      <c r="Y137">
        <v>260</v>
      </c>
      <c r="Z137">
        <v>152</v>
      </c>
      <c r="AA137">
        <v>33</v>
      </c>
      <c r="AB137" t="s">
        <v>67</v>
      </c>
      <c r="AC137" t="s">
        <v>148</v>
      </c>
      <c r="AD137" t="s">
        <v>141</v>
      </c>
    </row>
    <row r="138" spans="1:30">
      <c r="A138" t="s">
        <v>220</v>
      </c>
      <c r="B138" s="16">
        <v>44348</v>
      </c>
      <c r="C138" s="394">
        <v>44386</v>
      </c>
      <c r="D138" t="s">
        <v>87</v>
      </c>
      <c r="E138">
        <v>2983</v>
      </c>
      <c r="F138">
        <v>245</v>
      </c>
      <c r="G138">
        <v>233</v>
      </c>
      <c r="H138">
        <v>194</v>
      </c>
      <c r="I138">
        <v>176</v>
      </c>
      <c r="J138">
        <v>37</v>
      </c>
      <c r="K138">
        <v>25</v>
      </c>
      <c r="L138">
        <v>20</v>
      </c>
      <c r="M138">
        <v>14</v>
      </c>
      <c r="N138">
        <v>15</v>
      </c>
      <c r="O138">
        <v>132</v>
      </c>
      <c r="P138">
        <v>93</v>
      </c>
      <c r="Q138">
        <v>92</v>
      </c>
      <c r="R138">
        <v>85</v>
      </c>
      <c r="S138">
        <v>456</v>
      </c>
      <c r="T138">
        <v>274</v>
      </c>
      <c r="U138">
        <v>182</v>
      </c>
      <c r="V138">
        <v>50</v>
      </c>
      <c r="W138">
        <v>88</v>
      </c>
      <c r="X138">
        <v>42</v>
      </c>
      <c r="Y138">
        <v>123</v>
      </c>
      <c r="Z138">
        <v>83</v>
      </c>
      <c r="AA138">
        <v>12</v>
      </c>
      <c r="AB138" t="s">
        <v>91</v>
      </c>
      <c r="AC138" t="s">
        <v>173</v>
      </c>
      <c r="AD138" t="s">
        <v>169</v>
      </c>
    </row>
    <row r="139" spans="1:30">
      <c r="A139" t="s">
        <v>220</v>
      </c>
      <c r="B139" s="16">
        <v>44348</v>
      </c>
      <c r="C139" s="394">
        <v>44386</v>
      </c>
      <c r="D139" t="s">
        <v>90</v>
      </c>
      <c r="E139">
        <v>2938</v>
      </c>
      <c r="F139">
        <v>214</v>
      </c>
      <c r="G139">
        <v>205</v>
      </c>
      <c r="H139">
        <v>157</v>
      </c>
      <c r="I139">
        <v>141</v>
      </c>
      <c r="J139">
        <v>17</v>
      </c>
      <c r="K139">
        <v>27</v>
      </c>
      <c r="L139">
        <v>25</v>
      </c>
      <c r="M139">
        <v>11</v>
      </c>
      <c r="N139">
        <v>6</v>
      </c>
      <c r="O139">
        <v>92</v>
      </c>
      <c r="P139">
        <v>83</v>
      </c>
      <c r="Q139">
        <v>75</v>
      </c>
      <c r="R139">
        <v>69</v>
      </c>
      <c r="S139">
        <v>337</v>
      </c>
      <c r="T139">
        <v>168</v>
      </c>
      <c r="U139">
        <v>169</v>
      </c>
      <c r="V139">
        <v>39</v>
      </c>
      <c r="W139">
        <v>85</v>
      </c>
      <c r="X139">
        <v>43</v>
      </c>
      <c r="Y139">
        <v>123</v>
      </c>
      <c r="Z139">
        <v>47</v>
      </c>
      <c r="AA139">
        <v>6</v>
      </c>
      <c r="AB139" t="s">
        <v>91</v>
      </c>
      <c r="AC139" t="s">
        <v>173</v>
      </c>
      <c r="AD139" t="s">
        <v>172</v>
      </c>
    </row>
    <row r="140" spans="1:30">
      <c r="A140" t="s">
        <v>220</v>
      </c>
      <c r="B140" s="16">
        <v>44348</v>
      </c>
      <c r="C140" s="394">
        <v>44386</v>
      </c>
      <c r="D140" t="s">
        <v>93</v>
      </c>
      <c r="E140">
        <v>2145</v>
      </c>
      <c r="F140">
        <v>202</v>
      </c>
      <c r="G140">
        <v>192</v>
      </c>
      <c r="H140">
        <v>138</v>
      </c>
      <c r="I140">
        <v>100</v>
      </c>
      <c r="J140">
        <v>10</v>
      </c>
      <c r="K140">
        <v>15</v>
      </c>
      <c r="L140">
        <v>4</v>
      </c>
      <c r="M140">
        <v>4</v>
      </c>
      <c r="N140">
        <v>3</v>
      </c>
      <c r="O140">
        <v>148</v>
      </c>
      <c r="P140">
        <v>93</v>
      </c>
      <c r="Q140">
        <v>87</v>
      </c>
      <c r="R140">
        <v>44</v>
      </c>
      <c r="S140">
        <v>360</v>
      </c>
      <c r="T140">
        <v>117</v>
      </c>
      <c r="U140">
        <v>243</v>
      </c>
      <c r="V140">
        <v>35</v>
      </c>
      <c r="W140">
        <v>86</v>
      </c>
      <c r="X140">
        <v>41</v>
      </c>
      <c r="Y140">
        <v>128</v>
      </c>
      <c r="Z140">
        <v>57</v>
      </c>
      <c r="AA140">
        <v>17</v>
      </c>
      <c r="AB140" t="s">
        <v>97</v>
      </c>
      <c r="AC140" t="s">
        <v>179</v>
      </c>
      <c r="AD140" t="s">
        <v>175</v>
      </c>
    </row>
    <row r="141" spans="1:30">
      <c r="A141" t="s">
        <v>220</v>
      </c>
      <c r="B141" s="16">
        <v>44348</v>
      </c>
      <c r="C141" s="394">
        <v>44386</v>
      </c>
      <c r="D141" t="s">
        <v>81</v>
      </c>
      <c r="E141">
        <v>2713</v>
      </c>
      <c r="F141">
        <v>202</v>
      </c>
      <c r="G141">
        <v>191</v>
      </c>
      <c r="H141">
        <v>47</v>
      </c>
      <c r="I141">
        <v>162</v>
      </c>
      <c r="J141">
        <v>25</v>
      </c>
      <c r="K141">
        <v>14</v>
      </c>
      <c r="L141">
        <v>10</v>
      </c>
      <c r="M141">
        <v>8</v>
      </c>
      <c r="N141">
        <v>10</v>
      </c>
      <c r="O141">
        <v>96</v>
      </c>
      <c r="P141">
        <v>63</v>
      </c>
      <c r="Q141">
        <v>52</v>
      </c>
      <c r="R141">
        <v>45</v>
      </c>
      <c r="S141">
        <v>338</v>
      </c>
      <c r="T141">
        <v>145</v>
      </c>
      <c r="U141">
        <v>193</v>
      </c>
      <c r="V141">
        <v>61</v>
      </c>
      <c r="W141">
        <v>64</v>
      </c>
      <c r="X141">
        <v>28</v>
      </c>
      <c r="Y141">
        <v>131</v>
      </c>
      <c r="Z141">
        <v>57</v>
      </c>
      <c r="AA141">
        <v>7</v>
      </c>
      <c r="AB141" t="s">
        <v>84</v>
      </c>
      <c r="AC141" t="s">
        <v>166</v>
      </c>
      <c r="AD141" t="s">
        <v>162</v>
      </c>
    </row>
    <row r="142" spans="1:30">
      <c r="A142" t="s">
        <v>220</v>
      </c>
      <c r="B142" s="16">
        <v>44348</v>
      </c>
      <c r="C142" s="394">
        <v>44386</v>
      </c>
      <c r="D142" t="s">
        <v>69</v>
      </c>
      <c r="E142">
        <v>6961</v>
      </c>
      <c r="F142">
        <v>478</v>
      </c>
      <c r="G142">
        <v>450</v>
      </c>
      <c r="H142">
        <v>320</v>
      </c>
      <c r="I142">
        <v>174</v>
      </c>
      <c r="J142">
        <v>23</v>
      </c>
      <c r="K142">
        <v>116</v>
      </c>
      <c r="L142">
        <v>99</v>
      </c>
      <c r="M142">
        <v>47</v>
      </c>
      <c r="N142">
        <v>38</v>
      </c>
      <c r="O142">
        <v>455</v>
      </c>
      <c r="P142">
        <v>326</v>
      </c>
      <c r="Q142">
        <v>292</v>
      </c>
      <c r="R142">
        <v>166</v>
      </c>
      <c r="S142">
        <v>1221</v>
      </c>
      <c r="T142">
        <v>521</v>
      </c>
      <c r="U142">
        <v>700</v>
      </c>
      <c r="V142">
        <v>107</v>
      </c>
      <c r="W142">
        <v>307</v>
      </c>
      <c r="X142">
        <v>141</v>
      </c>
      <c r="Y142">
        <v>493</v>
      </c>
      <c r="Z142">
        <v>205</v>
      </c>
      <c r="AA142">
        <v>8</v>
      </c>
      <c r="AB142" t="s">
        <v>74</v>
      </c>
      <c r="AC142" t="s">
        <v>154</v>
      </c>
      <c r="AD142" t="s">
        <v>150</v>
      </c>
    </row>
    <row r="143" spans="1:30">
      <c r="A143" t="s">
        <v>220</v>
      </c>
      <c r="B143" s="16">
        <v>44348</v>
      </c>
      <c r="C143" s="394">
        <v>44386</v>
      </c>
      <c r="D143" t="s">
        <v>65</v>
      </c>
      <c r="E143">
        <v>4955</v>
      </c>
      <c r="F143">
        <v>405</v>
      </c>
      <c r="G143">
        <v>382</v>
      </c>
      <c r="H143">
        <v>125</v>
      </c>
      <c r="I143">
        <v>270</v>
      </c>
      <c r="J143">
        <v>22</v>
      </c>
      <c r="K143">
        <v>80</v>
      </c>
      <c r="L143">
        <v>32</v>
      </c>
      <c r="M143">
        <v>16</v>
      </c>
      <c r="N143">
        <v>15</v>
      </c>
      <c r="O143">
        <v>313</v>
      </c>
      <c r="P143">
        <v>110</v>
      </c>
      <c r="Q143">
        <v>109</v>
      </c>
      <c r="R143">
        <v>110</v>
      </c>
      <c r="S143">
        <v>716</v>
      </c>
      <c r="T143">
        <v>259</v>
      </c>
      <c r="U143">
        <v>457</v>
      </c>
      <c r="V143">
        <v>37</v>
      </c>
      <c r="W143">
        <v>165</v>
      </c>
      <c r="X143">
        <v>86</v>
      </c>
      <c r="Y143">
        <v>275</v>
      </c>
      <c r="Z143">
        <v>106</v>
      </c>
      <c r="AA143">
        <v>25</v>
      </c>
      <c r="AB143" t="s">
        <v>67</v>
      </c>
      <c r="AC143" t="s">
        <v>148</v>
      </c>
      <c r="AD143" t="s">
        <v>145</v>
      </c>
    </row>
    <row r="144" spans="1:30">
      <c r="A144" t="s">
        <v>220</v>
      </c>
      <c r="B144" s="16">
        <v>44378</v>
      </c>
      <c r="C144" s="394">
        <v>44386</v>
      </c>
      <c r="D144" t="s">
        <v>94</v>
      </c>
      <c r="E144">
        <v>6173</v>
      </c>
      <c r="F144">
        <v>520</v>
      </c>
      <c r="G144">
        <v>491</v>
      </c>
      <c r="H144">
        <v>262</v>
      </c>
      <c r="I144">
        <v>317</v>
      </c>
      <c r="J144">
        <v>42</v>
      </c>
      <c r="K144">
        <v>86</v>
      </c>
      <c r="L144">
        <v>49</v>
      </c>
      <c r="M144">
        <v>27</v>
      </c>
      <c r="N144">
        <v>33</v>
      </c>
      <c r="O144">
        <v>317</v>
      </c>
      <c r="P144">
        <v>138</v>
      </c>
      <c r="Q144">
        <v>127</v>
      </c>
      <c r="R144">
        <v>131</v>
      </c>
      <c r="S144">
        <v>893</v>
      </c>
      <c r="T144">
        <v>320</v>
      </c>
      <c r="U144">
        <v>573</v>
      </c>
      <c r="V144">
        <v>76</v>
      </c>
      <c r="W144">
        <v>235</v>
      </c>
      <c r="X144">
        <v>107</v>
      </c>
      <c r="Y144">
        <v>318</v>
      </c>
      <c r="Z144">
        <v>135</v>
      </c>
      <c r="AA144">
        <v>14</v>
      </c>
      <c r="AB144" t="s">
        <v>97</v>
      </c>
      <c r="AC144" t="s">
        <v>179</v>
      </c>
      <c r="AD144" t="s">
        <v>176</v>
      </c>
    </row>
    <row r="145" spans="1:30">
      <c r="A145" t="s">
        <v>220</v>
      </c>
      <c r="B145" s="16">
        <v>44378</v>
      </c>
      <c r="C145" s="394">
        <v>44386</v>
      </c>
      <c r="D145" t="s">
        <v>56</v>
      </c>
      <c r="E145">
        <v>12507</v>
      </c>
      <c r="F145">
        <v>674</v>
      </c>
      <c r="G145">
        <v>629</v>
      </c>
      <c r="H145">
        <v>333</v>
      </c>
      <c r="I145">
        <v>381</v>
      </c>
      <c r="J145">
        <v>39</v>
      </c>
      <c r="K145">
        <v>160</v>
      </c>
      <c r="L145">
        <v>144</v>
      </c>
      <c r="M145">
        <v>93</v>
      </c>
      <c r="N145">
        <v>87</v>
      </c>
      <c r="O145">
        <v>754</v>
      </c>
      <c r="P145">
        <v>463</v>
      </c>
      <c r="Q145">
        <v>442</v>
      </c>
      <c r="R145">
        <v>435</v>
      </c>
      <c r="S145">
        <v>1953</v>
      </c>
      <c r="T145">
        <v>416</v>
      </c>
      <c r="U145">
        <v>1537</v>
      </c>
      <c r="V145">
        <v>705</v>
      </c>
      <c r="W145">
        <v>545</v>
      </c>
      <c r="X145">
        <v>275</v>
      </c>
      <c r="Y145">
        <v>795</v>
      </c>
      <c r="Z145">
        <v>405</v>
      </c>
      <c r="AA145">
        <v>0</v>
      </c>
      <c r="AB145" t="s">
        <v>74</v>
      </c>
      <c r="AC145" t="s">
        <v>154</v>
      </c>
      <c r="AD145" t="s">
        <v>50</v>
      </c>
    </row>
    <row r="146" spans="1:30">
      <c r="A146" t="s">
        <v>220</v>
      </c>
      <c r="B146" s="16">
        <v>44378</v>
      </c>
      <c r="C146" s="394">
        <v>44386</v>
      </c>
      <c r="D146" t="s">
        <v>61</v>
      </c>
      <c r="E146">
        <v>7119</v>
      </c>
      <c r="F146">
        <v>348</v>
      </c>
      <c r="G146">
        <v>319</v>
      </c>
      <c r="H146">
        <v>210</v>
      </c>
      <c r="I146">
        <v>227</v>
      </c>
      <c r="J146">
        <v>43</v>
      </c>
      <c r="K146">
        <v>108</v>
      </c>
      <c r="L146">
        <v>62</v>
      </c>
      <c r="M146">
        <v>14</v>
      </c>
      <c r="N146">
        <v>25</v>
      </c>
      <c r="O146">
        <v>344</v>
      </c>
      <c r="P146">
        <v>210</v>
      </c>
      <c r="Q146">
        <v>204</v>
      </c>
      <c r="R146">
        <v>196</v>
      </c>
      <c r="S146">
        <v>798</v>
      </c>
      <c r="T146">
        <v>460</v>
      </c>
      <c r="U146">
        <v>338</v>
      </c>
      <c r="V146">
        <v>104</v>
      </c>
      <c r="W146">
        <v>156</v>
      </c>
      <c r="X146">
        <v>80</v>
      </c>
      <c r="Y146">
        <v>267</v>
      </c>
      <c r="Z146">
        <v>135</v>
      </c>
      <c r="AA146">
        <v>24</v>
      </c>
      <c r="AB146" t="s">
        <v>67</v>
      </c>
      <c r="AC146" t="s">
        <v>148</v>
      </c>
      <c r="AD146" t="s">
        <v>143</v>
      </c>
    </row>
    <row r="147" spans="1:30">
      <c r="A147" t="s">
        <v>220</v>
      </c>
      <c r="B147" s="16">
        <v>44378</v>
      </c>
      <c r="C147" s="394">
        <v>44386</v>
      </c>
      <c r="D147" t="s">
        <v>98</v>
      </c>
      <c r="E147">
        <v>5226</v>
      </c>
      <c r="F147">
        <v>419</v>
      </c>
      <c r="G147">
        <v>400</v>
      </c>
      <c r="H147">
        <v>299</v>
      </c>
      <c r="I147">
        <v>269</v>
      </c>
      <c r="J147">
        <v>35</v>
      </c>
      <c r="K147">
        <v>58</v>
      </c>
      <c r="L147">
        <v>37</v>
      </c>
      <c r="M147">
        <v>24</v>
      </c>
      <c r="N147">
        <v>28</v>
      </c>
      <c r="O147">
        <v>242</v>
      </c>
      <c r="P147">
        <v>131</v>
      </c>
      <c r="Q147">
        <v>125</v>
      </c>
      <c r="R147">
        <v>129</v>
      </c>
      <c r="S147">
        <v>807</v>
      </c>
      <c r="T147">
        <v>332</v>
      </c>
      <c r="U147">
        <v>475</v>
      </c>
      <c r="V147">
        <v>117</v>
      </c>
      <c r="W147">
        <v>173</v>
      </c>
      <c r="X147">
        <v>98</v>
      </c>
      <c r="Y147">
        <v>296</v>
      </c>
      <c r="Z147">
        <v>142</v>
      </c>
      <c r="AA147">
        <v>14</v>
      </c>
      <c r="AB147" t="s">
        <v>103</v>
      </c>
      <c r="AC147" t="s">
        <v>185</v>
      </c>
      <c r="AD147" t="s">
        <v>180</v>
      </c>
    </row>
    <row r="148" spans="1:30">
      <c r="A148" t="s">
        <v>220</v>
      </c>
      <c r="B148" s="16">
        <v>44378</v>
      </c>
      <c r="C148" s="394">
        <v>44386</v>
      </c>
      <c r="D148" t="s">
        <v>75</v>
      </c>
      <c r="E148">
        <v>7711</v>
      </c>
      <c r="F148">
        <v>729</v>
      </c>
      <c r="G148">
        <v>692</v>
      </c>
      <c r="H148">
        <v>564</v>
      </c>
      <c r="I148">
        <v>323</v>
      </c>
      <c r="J148">
        <v>67</v>
      </c>
      <c r="K148">
        <v>94</v>
      </c>
      <c r="L148">
        <v>89</v>
      </c>
      <c r="M148">
        <v>86</v>
      </c>
      <c r="N148">
        <v>79</v>
      </c>
      <c r="O148">
        <v>341</v>
      </c>
      <c r="P148">
        <v>296</v>
      </c>
      <c r="Q148">
        <v>291</v>
      </c>
      <c r="R148">
        <v>292</v>
      </c>
      <c r="S148">
        <v>1131</v>
      </c>
      <c r="T148">
        <v>590</v>
      </c>
      <c r="U148">
        <v>541</v>
      </c>
      <c r="V148">
        <v>128</v>
      </c>
      <c r="W148">
        <v>351</v>
      </c>
      <c r="X148">
        <v>189</v>
      </c>
      <c r="Y148">
        <v>499</v>
      </c>
      <c r="Z148">
        <v>231</v>
      </c>
      <c r="AA148">
        <v>54</v>
      </c>
      <c r="AB148" t="s">
        <v>77</v>
      </c>
      <c r="AC148" t="s">
        <v>158</v>
      </c>
      <c r="AD148" t="s">
        <v>155</v>
      </c>
    </row>
    <row r="149" spans="1:30">
      <c r="A149" t="s">
        <v>220</v>
      </c>
      <c r="B149" s="16">
        <v>44378</v>
      </c>
      <c r="C149" s="394">
        <v>44386</v>
      </c>
      <c r="D149" t="s">
        <v>63</v>
      </c>
      <c r="E149">
        <v>7804</v>
      </c>
      <c r="F149">
        <v>663</v>
      </c>
      <c r="G149">
        <v>616</v>
      </c>
      <c r="H149">
        <v>166</v>
      </c>
      <c r="I149">
        <v>426</v>
      </c>
      <c r="J149">
        <v>26</v>
      </c>
      <c r="K149">
        <v>107</v>
      </c>
      <c r="L149">
        <v>90</v>
      </c>
      <c r="M149">
        <v>4</v>
      </c>
      <c r="N149">
        <v>3</v>
      </c>
      <c r="O149">
        <v>393</v>
      </c>
      <c r="P149">
        <v>291</v>
      </c>
      <c r="Q149">
        <v>288</v>
      </c>
      <c r="R149">
        <v>278</v>
      </c>
      <c r="S149">
        <v>1312</v>
      </c>
      <c r="T149">
        <v>384</v>
      </c>
      <c r="U149">
        <v>928</v>
      </c>
      <c r="V149">
        <v>485</v>
      </c>
      <c r="W149">
        <v>345</v>
      </c>
      <c r="X149">
        <v>124</v>
      </c>
      <c r="Y149">
        <v>450</v>
      </c>
      <c r="Z149">
        <v>209</v>
      </c>
      <c r="AA149">
        <v>48</v>
      </c>
      <c r="AB149" t="s">
        <v>84</v>
      </c>
      <c r="AC149" t="s">
        <v>166</v>
      </c>
      <c r="AD149" t="s">
        <v>219</v>
      </c>
    </row>
    <row r="150" spans="1:30">
      <c r="A150" t="s">
        <v>220</v>
      </c>
      <c r="B150" s="16">
        <v>44378</v>
      </c>
      <c r="C150" s="394">
        <v>44386</v>
      </c>
      <c r="D150" t="s">
        <v>58</v>
      </c>
      <c r="E150">
        <v>5619</v>
      </c>
      <c r="F150">
        <v>409</v>
      </c>
      <c r="G150">
        <v>382</v>
      </c>
      <c r="H150">
        <v>258</v>
      </c>
      <c r="I150">
        <v>316</v>
      </c>
      <c r="J150">
        <v>44</v>
      </c>
      <c r="K150">
        <v>79</v>
      </c>
      <c r="L150">
        <v>76</v>
      </c>
      <c r="M150">
        <v>0</v>
      </c>
      <c r="N150">
        <v>0</v>
      </c>
      <c r="O150">
        <v>361</v>
      </c>
      <c r="P150">
        <v>312</v>
      </c>
      <c r="Q150">
        <v>305</v>
      </c>
      <c r="R150">
        <v>304</v>
      </c>
      <c r="S150">
        <v>719</v>
      </c>
      <c r="T150">
        <v>428</v>
      </c>
      <c r="U150">
        <v>291</v>
      </c>
      <c r="V150">
        <v>168</v>
      </c>
      <c r="W150">
        <v>221</v>
      </c>
      <c r="X150">
        <v>106</v>
      </c>
      <c r="Y150">
        <v>331</v>
      </c>
      <c r="Z150">
        <v>125</v>
      </c>
      <c r="AA150">
        <v>26</v>
      </c>
      <c r="AB150" t="s">
        <v>67</v>
      </c>
      <c r="AC150" t="s">
        <v>148</v>
      </c>
      <c r="AD150" t="s">
        <v>49</v>
      </c>
    </row>
    <row r="151" spans="1:30">
      <c r="A151" t="s">
        <v>220</v>
      </c>
      <c r="B151" s="16">
        <v>44378</v>
      </c>
      <c r="C151" s="394">
        <v>44386</v>
      </c>
      <c r="D151" t="s">
        <v>99</v>
      </c>
      <c r="E151">
        <v>6241</v>
      </c>
      <c r="F151">
        <v>552</v>
      </c>
      <c r="G151">
        <v>536</v>
      </c>
      <c r="H151">
        <v>488</v>
      </c>
      <c r="I151">
        <v>447</v>
      </c>
      <c r="J151">
        <v>118</v>
      </c>
      <c r="K151">
        <v>38</v>
      </c>
      <c r="L151">
        <v>15</v>
      </c>
      <c r="M151">
        <v>10</v>
      </c>
      <c r="N151">
        <v>13</v>
      </c>
      <c r="O151">
        <v>342</v>
      </c>
      <c r="P151">
        <v>273</v>
      </c>
      <c r="Q151">
        <v>244</v>
      </c>
      <c r="R151">
        <v>260</v>
      </c>
      <c r="S151">
        <v>711</v>
      </c>
      <c r="T151">
        <v>370</v>
      </c>
      <c r="U151">
        <v>341</v>
      </c>
      <c r="V151">
        <v>103</v>
      </c>
      <c r="W151">
        <v>203</v>
      </c>
      <c r="X151">
        <v>130</v>
      </c>
      <c r="Y151">
        <v>335</v>
      </c>
      <c r="Z151">
        <v>163</v>
      </c>
      <c r="AA151">
        <v>24</v>
      </c>
      <c r="AB151" t="s">
        <v>103</v>
      </c>
      <c r="AC151" t="s">
        <v>185</v>
      </c>
      <c r="AD151" t="s">
        <v>221</v>
      </c>
    </row>
    <row r="152" spans="1:30">
      <c r="A152" t="s">
        <v>220</v>
      </c>
      <c r="B152" s="16">
        <v>44378</v>
      </c>
      <c r="C152" s="394">
        <v>44386</v>
      </c>
      <c r="D152" t="s">
        <v>78</v>
      </c>
      <c r="E152">
        <v>12171</v>
      </c>
      <c r="F152">
        <v>788</v>
      </c>
      <c r="G152">
        <v>719</v>
      </c>
      <c r="H152">
        <v>293</v>
      </c>
      <c r="I152">
        <v>571</v>
      </c>
      <c r="J152">
        <v>51</v>
      </c>
      <c r="K152">
        <v>109</v>
      </c>
      <c r="L152">
        <v>40</v>
      </c>
      <c r="M152">
        <v>25</v>
      </c>
      <c r="N152">
        <v>28</v>
      </c>
      <c r="O152">
        <v>602</v>
      </c>
      <c r="P152">
        <v>152</v>
      </c>
      <c r="Q152">
        <v>126</v>
      </c>
      <c r="R152">
        <v>95</v>
      </c>
      <c r="S152">
        <v>1445</v>
      </c>
      <c r="T152">
        <v>385</v>
      </c>
      <c r="U152">
        <v>1060</v>
      </c>
      <c r="V152">
        <v>77</v>
      </c>
      <c r="W152">
        <v>354</v>
      </c>
      <c r="X152">
        <v>156</v>
      </c>
      <c r="Y152">
        <v>558</v>
      </c>
      <c r="Z152">
        <v>217</v>
      </c>
      <c r="AA152">
        <v>50</v>
      </c>
      <c r="AB152" t="s">
        <v>84</v>
      </c>
      <c r="AC152" t="s">
        <v>166</v>
      </c>
      <c r="AD152" t="s">
        <v>159</v>
      </c>
    </row>
    <row r="153" spans="1:30">
      <c r="A153" t="s">
        <v>220</v>
      </c>
      <c r="B153" s="16">
        <v>44378</v>
      </c>
      <c r="C153" s="394">
        <v>44386</v>
      </c>
      <c r="D153" t="s">
        <v>76</v>
      </c>
      <c r="E153">
        <v>8553</v>
      </c>
      <c r="F153">
        <v>796</v>
      </c>
      <c r="G153">
        <v>769</v>
      </c>
      <c r="H153">
        <v>653</v>
      </c>
      <c r="I153">
        <v>432</v>
      </c>
      <c r="J153">
        <v>71</v>
      </c>
      <c r="K153">
        <v>47</v>
      </c>
      <c r="L153">
        <v>44</v>
      </c>
      <c r="M153">
        <v>42</v>
      </c>
      <c r="N153">
        <v>36</v>
      </c>
      <c r="O153">
        <v>437</v>
      </c>
      <c r="P153">
        <v>342</v>
      </c>
      <c r="Q153">
        <v>336</v>
      </c>
      <c r="R153">
        <v>333</v>
      </c>
      <c r="S153">
        <v>1103</v>
      </c>
      <c r="T153">
        <v>570</v>
      </c>
      <c r="U153">
        <v>533</v>
      </c>
      <c r="V153">
        <v>140</v>
      </c>
      <c r="W153">
        <v>343</v>
      </c>
      <c r="X153">
        <v>189</v>
      </c>
      <c r="Y153">
        <v>447</v>
      </c>
      <c r="Z153">
        <v>186</v>
      </c>
      <c r="AA153">
        <v>72</v>
      </c>
      <c r="AB153" t="s">
        <v>77</v>
      </c>
      <c r="AC153" t="s">
        <v>158</v>
      </c>
      <c r="AD153" t="s">
        <v>156</v>
      </c>
    </row>
    <row r="154" spans="1:30">
      <c r="A154" t="s">
        <v>220</v>
      </c>
      <c r="B154" s="16">
        <v>44378</v>
      </c>
      <c r="C154" s="394">
        <v>44386</v>
      </c>
      <c r="D154" t="s">
        <v>79</v>
      </c>
      <c r="E154">
        <v>8009</v>
      </c>
      <c r="F154">
        <v>384</v>
      </c>
      <c r="G154">
        <v>350</v>
      </c>
      <c r="H154">
        <v>188</v>
      </c>
      <c r="I154">
        <v>219</v>
      </c>
      <c r="J154">
        <v>14</v>
      </c>
      <c r="K154">
        <v>32</v>
      </c>
      <c r="L154">
        <v>10</v>
      </c>
      <c r="M154">
        <v>8</v>
      </c>
      <c r="N154">
        <v>8</v>
      </c>
      <c r="O154">
        <v>315</v>
      </c>
      <c r="P154">
        <v>153</v>
      </c>
      <c r="Q154">
        <v>147</v>
      </c>
      <c r="R154">
        <v>132</v>
      </c>
      <c r="S154">
        <v>747</v>
      </c>
      <c r="T154">
        <v>257</v>
      </c>
      <c r="U154">
        <v>490</v>
      </c>
      <c r="V154">
        <v>95</v>
      </c>
      <c r="W154">
        <v>143</v>
      </c>
      <c r="X154">
        <v>83</v>
      </c>
      <c r="Y154">
        <v>249</v>
      </c>
      <c r="Z154">
        <v>135</v>
      </c>
      <c r="AA154">
        <v>26</v>
      </c>
      <c r="AB154" t="s">
        <v>84</v>
      </c>
      <c r="AC154" t="s">
        <v>166</v>
      </c>
      <c r="AD154" t="s">
        <v>160</v>
      </c>
    </row>
    <row r="155" spans="1:30">
      <c r="A155" t="s">
        <v>220</v>
      </c>
      <c r="B155" s="16">
        <v>44378</v>
      </c>
      <c r="C155" s="394">
        <v>44386</v>
      </c>
      <c r="D155" t="s">
        <v>86</v>
      </c>
      <c r="E155">
        <v>1678</v>
      </c>
      <c r="F155">
        <v>126</v>
      </c>
      <c r="G155">
        <v>123</v>
      </c>
      <c r="H155">
        <v>108</v>
      </c>
      <c r="I155">
        <v>105</v>
      </c>
      <c r="J155">
        <v>10</v>
      </c>
      <c r="K155">
        <v>19</v>
      </c>
      <c r="L155">
        <v>15</v>
      </c>
      <c r="M155">
        <v>10</v>
      </c>
      <c r="N155">
        <v>3</v>
      </c>
      <c r="O155">
        <v>85</v>
      </c>
      <c r="P155">
        <v>53</v>
      </c>
      <c r="Q155">
        <v>53</v>
      </c>
      <c r="R155">
        <v>53</v>
      </c>
      <c r="S155">
        <v>262</v>
      </c>
      <c r="T155">
        <v>106</v>
      </c>
      <c r="U155">
        <v>156</v>
      </c>
      <c r="V155">
        <v>27</v>
      </c>
      <c r="W155">
        <v>73</v>
      </c>
      <c r="X155">
        <v>32</v>
      </c>
      <c r="Y155">
        <v>78</v>
      </c>
      <c r="Z155">
        <v>22</v>
      </c>
      <c r="AA155">
        <v>11</v>
      </c>
      <c r="AB155" t="s">
        <v>91</v>
      </c>
      <c r="AC155" t="s">
        <v>173</v>
      </c>
      <c r="AD155" t="s">
        <v>168</v>
      </c>
    </row>
    <row r="156" spans="1:30">
      <c r="A156" t="s">
        <v>220</v>
      </c>
      <c r="B156" s="16">
        <v>44378</v>
      </c>
      <c r="C156" s="394">
        <v>44386</v>
      </c>
      <c r="D156" t="s">
        <v>102</v>
      </c>
      <c r="E156">
        <v>12611</v>
      </c>
      <c r="F156">
        <v>778</v>
      </c>
      <c r="G156">
        <v>722</v>
      </c>
      <c r="H156">
        <v>378</v>
      </c>
      <c r="I156">
        <v>568</v>
      </c>
      <c r="J156">
        <v>82</v>
      </c>
      <c r="K156">
        <v>105</v>
      </c>
      <c r="L156">
        <v>4</v>
      </c>
      <c r="M156">
        <v>0</v>
      </c>
      <c r="N156">
        <v>1</v>
      </c>
      <c r="O156">
        <v>573</v>
      </c>
      <c r="P156">
        <v>95</v>
      </c>
      <c r="Q156">
        <v>39</v>
      </c>
      <c r="R156">
        <v>28</v>
      </c>
      <c r="S156">
        <v>1446</v>
      </c>
      <c r="T156">
        <v>603</v>
      </c>
      <c r="U156">
        <v>843</v>
      </c>
      <c r="V156">
        <v>110</v>
      </c>
      <c r="W156">
        <v>333</v>
      </c>
      <c r="X156">
        <v>184</v>
      </c>
      <c r="Y156">
        <v>488</v>
      </c>
      <c r="Z156">
        <v>248</v>
      </c>
      <c r="AA156">
        <v>26</v>
      </c>
      <c r="AB156" t="s">
        <v>103</v>
      </c>
      <c r="AC156" t="s">
        <v>185</v>
      </c>
      <c r="AD156" t="s">
        <v>184</v>
      </c>
    </row>
    <row r="157" spans="1:30">
      <c r="A157" t="s">
        <v>220</v>
      </c>
      <c r="B157" s="16">
        <v>44378</v>
      </c>
      <c r="C157" s="394">
        <v>44386</v>
      </c>
      <c r="D157" t="s">
        <v>100</v>
      </c>
      <c r="E157">
        <v>5887</v>
      </c>
      <c r="F157">
        <v>459</v>
      </c>
      <c r="G157">
        <v>431</v>
      </c>
      <c r="H157">
        <v>159</v>
      </c>
      <c r="I157">
        <v>301</v>
      </c>
      <c r="J157">
        <v>44</v>
      </c>
      <c r="K157">
        <v>67</v>
      </c>
      <c r="L157">
        <v>18</v>
      </c>
      <c r="M157">
        <v>1</v>
      </c>
      <c r="N157">
        <v>2</v>
      </c>
      <c r="O157">
        <v>261</v>
      </c>
      <c r="P157">
        <v>128</v>
      </c>
      <c r="Q157">
        <v>84</v>
      </c>
      <c r="R157">
        <v>63</v>
      </c>
      <c r="S157">
        <v>811</v>
      </c>
      <c r="T157">
        <v>289</v>
      </c>
      <c r="U157">
        <v>522</v>
      </c>
      <c r="V157">
        <v>67</v>
      </c>
      <c r="W157">
        <v>206</v>
      </c>
      <c r="X157">
        <v>112</v>
      </c>
      <c r="Y157">
        <v>299</v>
      </c>
      <c r="Z157">
        <v>159</v>
      </c>
      <c r="AA157">
        <v>40</v>
      </c>
      <c r="AB157" t="s">
        <v>103</v>
      </c>
      <c r="AC157" t="s">
        <v>185</v>
      </c>
      <c r="AD157" t="s">
        <v>182</v>
      </c>
    </row>
    <row r="158" spans="1:30">
      <c r="A158" t="s">
        <v>220</v>
      </c>
      <c r="B158" s="16">
        <v>44378</v>
      </c>
      <c r="C158" s="394">
        <v>44386</v>
      </c>
      <c r="D158" t="s">
        <v>59</v>
      </c>
      <c r="E158">
        <v>11824</v>
      </c>
      <c r="F158">
        <v>859</v>
      </c>
      <c r="G158">
        <v>821</v>
      </c>
      <c r="H158">
        <v>706</v>
      </c>
      <c r="I158">
        <v>678</v>
      </c>
      <c r="J158">
        <v>97</v>
      </c>
      <c r="K158">
        <v>112</v>
      </c>
      <c r="L158">
        <v>106</v>
      </c>
      <c r="M158">
        <v>44</v>
      </c>
      <c r="N158">
        <v>74</v>
      </c>
      <c r="O158">
        <v>579</v>
      </c>
      <c r="P158">
        <v>428</v>
      </c>
      <c r="Q158">
        <v>413</v>
      </c>
      <c r="R158">
        <v>421</v>
      </c>
      <c r="S158">
        <v>1488</v>
      </c>
      <c r="T158">
        <v>695</v>
      </c>
      <c r="U158">
        <v>793</v>
      </c>
      <c r="V158">
        <v>503</v>
      </c>
      <c r="W158">
        <v>576</v>
      </c>
      <c r="X158">
        <v>215</v>
      </c>
      <c r="Y158">
        <v>494</v>
      </c>
      <c r="Z158">
        <v>225</v>
      </c>
      <c r="AA158">
        <v>2</v>
      </c>
      <c r="AB158" t="s">
        <v>77</v>
      </c>
      <c r="AC158" t="s">
        <v>158</v>
      </c>
      <c r="AD158" t="s">
        <v>51</v>
      </c>
    </row>
    <row r="159" spans="1:30">
      <c r="A159" t="s">
        <v>220</v>
      </c>
      <c r="B159" s="16">
        <v>44378</v>
      </c>
      <c r="C159" s="394">
        <v>44386</v>
      </c>
      <c r="D159" t="s">
        <v>71</v>
      </c>
      <c r="E159">
        <v>5716</v>
      </c>
      <c r="F159">
        <v>344</v>
      </c>
      <c r="G159">
        <v>316</v>
      </c>
      <c r="H159">
        <v>121</v>
      </c>
      <c r="I159">
        <v>164</v>
      </c>
      <c r="J159">
        <v>8</v>
      </c>
      <c r="K159">
        <v>74</v>
      </c>
      <c r="L159">
        <v>42</v>
      </c>
      <c r="M159">
        <v>8</v>
      </c>
      <c r="N159">
        <v>29</v>
      </c>
      <c r="O159">
        <v>320</v>
      </c>
      <c r="P159">
        <v>134</v>
      </c>
      <c r="Q159">
        <v>116</v>
      </c>
      <c r="R159">
        <v>107</v>
      </c>
      <c r="S159">
        <v>1097</v>
      </c>
      <c r="T159">
        <v>417</v>
      </c>
      <c r="U159">
        <v>680</v>
      </c>
      <c r="V159">
        <v>26</v>
      </c>
      <c r="W159">
        <v>284</v>
      </c>
      <c r="X159">
        <v>128</v>
      </c>
      <c r="Y159">
        <v>486</v>
      </c>
      <c r="Z159">
        <v>278</v>
      </c>
      <c r="AA159">
        <v>18</v>
      </c>
      <c r="AB159" t="s">
        <v>74</v>
      </c>
      <c r="AC159" t="s">
        <v>154</v>
      </c>
      <c r="AD159" t="s">
        <v>152</v>
      </c>
    </row>
    <row r="160" spans="1:30">
      <c r="A160" t="s">
        <v>220</v>
      </c>
      <c r="B160" s="16">
        <v>44378</v>
      </c>
      <c r="C160" s="394">
        <v>44386</v>
      </c>
      <c r="D160" t="s">
        <v>95</v>
      </c>
      <c r="E160">
        <v>4518</v>
      </c>
      <c r="F160">
        <v>297</v>
      </c>
      <c r="G160">
        <v>284</v>
      </c>
      <c r="H160">
        <v>89</v>
      </c>
      <c r="I160">
        <v>165</v>
      </c>
      <c r="J160">
        <v>2</v>
      </c>
      <c r="K160">
        <v>33</v>
      </c>
      <c r="L160">
        <v>9</v>
      </c>
      <c r="M160">
        <v>0</v>
      </c>
      <c r="N160">
        <v>5</v>
      </c>
      <c r="O160">
        <v>203</v>
      </c>
      <c r="P160">
        <v>7</v>
      </c>
      <c r="Q160">
        <v>7</v>
      </c>
      <c r="R160">
        <v>6</v>
      </c>
      <c r="S160">
        <v>482</v>
      </c>
      <c r="T160">
        <v>76</v>
      </c>
      <c r="U160">
        <v>406</v>
      </c>
      <c r="V160">
        <v>21</v>
      </c>
      <c r="W160">
        <v>128</v>
      </c>
      <c r="X160">
        <v>71</v>
      </c>
      <c r="Y160">
        <v>176</v>
      </c>
      <c r="Z160">
        <v>88</v>
      </c>
      <c r="AA160">
        <v>3</v>
      </c>
      <c r="AB160" t="s">
        <v>97</v>
      </c>
      <c r="AC160" t="s">
        <v>179</v>
      </c>
      <c r="AD160" t="s">
        <v>177</v>
      </c>
    </row>
    <row r="161" spans="1:30">
      <c r="A161" t="s">
        <v>220</v>
      </c>
      <c r="B161" s="16">
        <v>44378</v>
      </c>
      <c r="C161" s="394">
        <v>44386</v>
      </c>
      <c r="D161" t="s">
        <v>83</v>
      </c>
      <c r="E161">
        <v>4006</v>
      </c>
      <c r="F161">
        <v>363</v>
      </c>
      <c r="G161">
        <v>346</v>
      </c>
      <c r="H161">
        <v>40</v>
      </c>
      <c r="I161">
        <v>165</v>
      </c>
      <c r="J161">
        <v>13</v>
      </c>
      <c r="K161">
        <v>36</v>
      </c>
      <c r="L161">
        <v>11</v>
      </c>
      <c r="M161">
        <v>0</v>
      </c>
      <c r="N161">
        <v>0</v>
      </c>
      <c r="O161">
        <v>200</v>
      </c>
      <c r="P161">
        <v>88</v>
      </c>
      <c r="Q161">
        <v>69</v>
      </c>
      <c r="R161">
        <v>62</v>
      </c>
      <c r="S161">
        <v>659</v>
      </c>
      <c r="T161">
        <v>192</v>
      </c>
      <c r="U161">
        <v>467</v>
      </c>
      <c r="V161">
        <v>29</v>
      </c>
      <c r="W161">
        <v>129</v>
      </c>
      <c r="X161">
        <v>58</v>
      </c>
      <c r="Y161">
        <v>211</v>
      </c>
      <c r="Z161">
        <v>123</v>
      </c>
      <c r="AA161">
        <v>23</v>
      </c>
      <c r="AB161" t="s">
        <v>84</v>
      </c>
      <c r="AC161" t="s">
        <v>166</v>
      </c>
      <c r="AD161" t="s">
        <v>164</v>
      </c>
    </row>
    <row r="162" spans="1:30">
      <c r="A162" t="s">
        <v>220</v>
      </c>
      <c r="B162" s="16">
        <v>44378</v>
      </c>
      <c r="C162" s="394">
        <v>44386</v>
      </c>
      <c r="D162" t="s">
        <v>92</v>
      </c>
      <c r="E162">
        <v>11326</v>
      </c>
      <c r="F162">
        <v>664</v>
      </c>
      <c r="G162">
        <v>626</v>
      </c>
      <c r="H162">
        <v>436</v>
      </c>
      <c r="I162">
        <v>348</v>
      </c>
      <c r="J162">
        <v>35</v>
      </c>
      <c r="K162">
        <v>89</v>
      </c>
      <c r="L162">
        <v>65</v>
      </c>
      <c r="M162">
        <v>39</v>
      </c>
      <c r="N162">
        <v>45</v>
      </c>
      <c r="O162">
        <v>634</v>
      </c>
      <c r="P162">
        <v>426</v>
      </c>
      <c r="Q162">
        <v>384</v>
      </c>
      <c r="R162">
        <v>376</v>
      </c>
      <c r="S162">
        <v>1249</v>
      </c>
      <c r="T162">
        <v>625</v>
      </c>
      <c r="U162">
        <v>624</v>
      </c>
      <c r="V162">
        <v>144</v>
      </c>
      <c r="W162">
        <v>303</v>
      </c>
      <c r="X162">
        <v>147</v>
      </c>
      <c r="Y162">
        <v>441</v>
      </c>
      <c r="Z162">
        <v>198</v>
      </c>
      <c r="AA162">
        <v>4</v>
      </c>
      <c r="AB162" t="s">
        <v>97</v>
      </c>
      <c r="AC162" t="s">
        <v>179</v>
      </c>
      <c r="AD162" t="s">
        <v>174</v>
      </c>
    </row>
    <row r="163" spans="1:30">
      <c r="A163" t="s">
        <v>220</v>
      </c>
      <c r="B163" s="16">
        <v>44378</v>
      </c>
      <c r="C163" s="394">
        <v>44386</v>
      </c>
      <c r="D163" t="s">
        <v>72</v>
      </c>
      <c r="E163">
        <v>5854</v>
      </c>
      <c r="F163">
        <v>338</v>
      </c>
      <c r="G163">
        <v>311</v>
      </c>
      <c r="H163">
        <v>257</v>
      </c>
      <c r="I163">
        <v>92</v>
      </c>
      <c r="J163">
        <v>14</v>
      </c>
      <c r="K163">
        <v>66</v>
      </c>
      <c r="L163">
        <v>48</v>
      </c>
      <c r="M163">
        <v>39</v>
      </c>
      <c r="N163">
        <v>3</v>
      </c>
      <c r="O163">
        <v>368</v>
      </c>
      <c r="P163">
        <v>251</v>
      </c>
      <c r="Q163">
        <v>234</v>
      </c>
      <c r="R163">
        <v>212</v>
      </c>
      <c r="S163">
        <v>815</v>
      </c>
      <c r="T163">
        <v>542</v>
      </c>
      <c r="U163">
        <v>273</v>
      </c>
      <c r="V163">
        <v>91</v>
      </c>
      <c r="W163">
        <v>239</v>
      </c>
      <c r="X163">
        <v>109</v>
      </c>
      <c r="Y163">
        <v>368</v>
      </c>
      <c r="Z163">
        <v>181</v>
      </c>
      <c r="AA163">
        <v>7</v>
      </c>
      <c r="AB163" t="s">
        <v>74</v>
      </c>
      <c r="AC163" t="s">
        <v>154</v>
      </c>
      <c r="AD163" t="s">
        <v>153</v>
      </c>
    </row>
    <row r="164" spans="1:30">
      <c r="A164" t="s">
        <v>220</v>
      </c>
      <c r="B164" s="16">
        <v>44378</v>
      </c>
      <c r="C164" s="394">
        <v>44386</v>
      </c>
      <c r="D164" t="s">
        <v>85</v>
      </c>
      <c r="E164">
        <v>5224</v>
      </c>
      <c r="F164">
        <v>308</v>
      </c>
      <c r="G164">
        <v>292</v>
      </c>
      <c r="H164">
        <v>208</v>
      </c>
      <c r="I164">
        <v>241</v>
      </c>
      <c r="J164">
        <v>68</v>
      </c>
      <c r="K164">
        <v>30</v>
      </c>
      <c r="L164">
        <v>24</v>
      </c>
      <c r="M164">
        <v>20</v>
      </c>
      <c r="N164">
        <v>23</v>
      </c>
      <c r="O164">
        <v>262</v>
      </c>
      <c r="P164">
        <v>188</v>
      </c>
      <c r="Q164">
        <v>185</v>
      </c>
      <c r="R164">
        <v>176</v>
      </c>
      <c r="S164">
        <v>600</v>
      </c>
      <c r="T164">
        <v>275</v>
      </c>
      <c r="U164">
        <v>325</v>
      </c>
      <c r="V164">
        <v>36</v>
      </c>
      <c r="W164">
        <v>150</v>
      </c>
      <c r="X164">
        <v>60</v>
      </c>
      <c r="Y164">
        <v>269</v>
      </c>
      <c r="Z164">
        <v>121</v>
      </c>
      <c r="AA164">
        <v>11</v>
      </c>
      <c r="AB164" t="s">
        <v>91</v>
      </c>
      <c r="AC164" t="s">
        <v>173</v>
      </c>
      <c r="AD164" t="s">
        <v>167</v>
      </c>
    </row>
    <row r="165" spans="1:30">
      <c r="A165" t="s">
        <v>220</v>
      </c>
      <c r="B165" s="16">
        <v>44378</v>
      </c>
      <c r="C165" s="394">
        <v>44386</v>
      </c>
      <c r="D165" t="s">
        <v>88</v>
      </c>
      <c r="E165">
        <v>4671</v>
      </c>
      <c r="F165">
        <v>421</v>
      </c>
      <c r="G165">
        <v>401</v>
      </c>
      <c r="H165">
        <v>290</v>
      </c>
      <c r="I165">
        <v>304</v>
      </c>
      <c r="J165">
        <v>46</v>
      </c>
      <c r="K165">
        <v>57</v>
      </c>
      <c r="L165">
        <v>35</v>
      </c>
      <c r="M165">
        <v>32</v>
      </c>
      <c r="N165">
        <v>29</v>
      </c>
      <c r="O165">
        <v>243</v>
      </c>
      <c r="P165">
        <v>149</v>
      </c>
      <c r="Q165">
        <v>147</v>
      </c>
      <c r="R165">
        <v>140</v>
      </c>
      <c r="S165">
        <v>697</v>
      </c>
      <c r="T165">
        <v>336</v>
      </c>
      <c r="U165">
        <v>361</v>
      </c>
      <c r="V165">
        <v>152</v>
      </c>
      <c r="W165">
        <v>203</v>
      </c>
      <c r="X165">
        <v>86</v>
      </c>
      <c r="Y165">
        <v>285</v>
      </c>
      <c r="Z165">
        <v>156</v>
      </c>
      <c r="AA165">
        <v>1</v>
      </c>
      <c r="AB165" t="s">
        <v>91</v>
      </c>
      <c r="AC165" t="s">
        <v>173</v>
      </c>
      <c r="AD165" t="s">
        <v>170</v>
      </c>
    </row>
    <row r="166" spans="1:30">
      <c r="A166" t="s">
        <v>220</v>
      </c>
      <c r="B166" s="16">
        <v>44378</v>
      </c>
      <c r="C166" s="394">
        <v>44386</v>
      </c>
      <c r="D166" t="s">
        <v>64</v>
      </c>
      <c r="E166">
        <v>5184</v>
      </c>
      <c r="F166">
        <v>288</v>
      </c>
      <c r="G166">
        <v>275</v>
      </c>
      <c r="H166">
        <v>185</v>
      </c>
      <c r="I166">
        <v>193</v>
      </c>
      <c r="J166">
        <v>31</v>
      </c>
      <c r="K166">
        <v>24</v>
      </c>
      <c r="L166">
        <v>18</v>
      </c>
      <c r="M166">
        <v>6</v>
      </c>
      <c r="N166">
        <v>5</v>
      </c>
      <c r="O166">
        <v>181</v>
      </c>
      <c r="P166">
        <v>108</v>
      </c>
      <c r="Q166">
        <v>97</v>
      </c>
      <c r="R166">
        <v>95</v>
      </c>
      <c r="S166">
        <v>531</v>
      </c>
      <c r="T166">
        <v>312</v>
      </c>
      <c r="U166">
        <v>219</v>
      </c>
      <c r="V166">
        <v>54</v>
      </c>
      <c r="W166">
        <v>109</v>
      </c>
      <c r="X166">
        <v>45</v>
      </c>
      <c r="Y166">
        <v>174</v>
      </c>
      <c r="Z166">
        <v>93</v>
      </c>
      <c r="AA166">
        <v>15</v>
      </c>
      <c r="AB166" t="s">
        <v>67</v>
      </c>
      <c r="AC166" t="s">
        <v>148</v>
      </c>
      <c r="AD166" t="s">
        <v>144</v>
      </c>
    </row>
    <row r="167" spans="1:30">
      <c r="A167" t="s">
        <v>220</v>
      </c>
      <c r="B167" s="16">
        <v>44378</v>
      </c>
      <c r="C167" s="394">
        <v>44386</v>
      </c>
      <c r="D167" t="s">
        <v>70</v>
      </c>
      <c r="E167">
        <v>10686</v>
      </c>
      <c r="F167">
        <v>809</v>
      </c>
      <c r="G167">
        <v>764</v>
      </c>
      <c r="H167">
        <v>374</v>
      </c>
      <c r="I167">
        <v>269</v>
      </c>
      <c r="J167">
        <v>23</v>
      </c>
      <c r="K167">
        <v>229</v>
      </c>
      <c r="L167">
        <v>180</v>
      </c>
      <c r="M167">
        <v>80</v>
      </c>
      <c r="N167">
        <v>156</v>
      </c>
      <c r="O167">
        <v>711</v>
      </c>
      <c r="P167">
        <v>367</v>
      </c>
      <c r="Q167">
        <v>353</v>
      </c>
      <c r="R167">
        <v>348</v>
      </c>
      <c r="S167">
        <v>1835</v>
      </c>
      <c r="T167">
        <v>825</v>
      </c>
      <c r="U167">
        <v>1010</v>
      </c>
      <c r="V167">
        <v>209</v>
      </c>
      <c r="W167">
        <v>604</v>
      </c>
      <c r="X167">
        <v>257</v>
      </c>
      <c r="Y167">
        <v>833</v>
      </c>
      <c r="Z167">
        <v>390</v>
      </c>
      <c r="AA167">
        <v>69</v>
      </c>
      <c r="AB167" t="s">
        <v>74</v>
      </c>
      <c r="AC167" t="s">
        <v>154</v>
      </c>
      <c r="AD167" t="s">
        <v>151</v>
      </c>
    </row>
    <row r="168" spans="1:30">
      <c r="A168" t="s">
        <v>220</v>
      </c>
      <c r="B168" s="16">
        <v>44378</v>
      </c>
      <c r="C168" s="394">
        <v>44386</v>
      </c>
      <c r="D168" t="s">
        <v>57</v>
      </c>
      <c r="E168">
        <v>4071</v>
      </c>
      <c r="F168">
        <v>373</v>
      </c>
      <c r="G168">
        <v>359</v>
      </c>
      <c r="H168">
        <v>263</v>
      </c>
      <c r="I168">
        <v>263</v>
      </c>
      <c r="J168">
        <v>39</v>
      </c>
      <c r="K168">
        <v>64</v>
      </c>
      <c r="L168">
        <v>59</v>
      </c>
      <c r="M168">
        <v>11</v>
      </c>
      <c r="N168">
        <v>2</v>
      </c>
      <c r="O168">
        <v>203</v>
      </c>
      <c r="P168">
        <v>151</v>
      </c>
      <c r="Q168">
        <v>147</v>
      </c>
      <c r="R168">
        <v>140</v>
      </c>
      <c r="S168">
        <v>775</v>
      </c>
      <c r="T168">
        <v>251</v>
      </c>
      <c r="U168">
        <v>524</v>
      </c>
      <c r="V168">
        <v>370</v>
      </c>
      <c r="W168">
        <v>196</v>
      </c>
      <c r="X168">
        <v>93</v>
      </c>
      <c r="Y168">
        <v>263</v>
      </c>
      <c r="Z168">
        <v>104</v>
      </c>
      <c r="AA168">
        <v>36</v>
      </c>
      <c r="AB168" t="s">
        <v>67</v>
      </c>
      <c r="AC168" t="s">
        <v>148</v>
      </c>
      <c r="AD168" t="s">
        <v>48</v>
      </c>
    </row>
    <row r="169" spans="1:30">
      <c r="A169" t="s">
        <v>220</v>
      </c>
      <c r="B169" s="16">
        <v>44378</v>
      </c>
      <c r="C169" s="394">
        <v>44386</v>
      </c>
      <c r="D169" t="s">
        <v>96</v>
      </c>
      <c r="E169">
        <v>7491</v>
      </c>
      <c r="F169">
        <v>526</v>
      </c>
      <c r="G169">
        <v>503</v>
      </c>
      <c r="H169">
        <v>198</v>
      </c>
      <c r="I169">
        <v>338</v>
      </c>
      <c r="J169">
        <v>28</v>
      </c>
      <c r="K169">
        <v>95</v>
      </c>
      <c r="L169">
        <v>63</v>
      </c>
      <c r="M169">
        <v>49</v>
      </c>
      <c r="N169">
        <v>56</v>
      </c>
      <c r="O169">
        <v>366</v>
      </c>
      <c r="P169">
        <v>169</v>
      </c>
      <c r="Q169">
        <v>142</v>
      </c>
      <c r="R169">
        <v>132</v>
      </c>
      <c r="S169">
        <v>1130</v>
      </c>
      <c r="T169">
        <v>431</v>
      </c>
      <c r="U169">
        <v>699</v>
      </c>
      <c r="V169">
        <v>92</v>
      </c>
      <c r="W169">
        <v>258</v>
      </c>
      <c r="X169">
        <v>114</v>
      </c>
      <c r="Y169">
        <v>401</v>
      </c>
      <c r="Z169">
        <v>180</v>
      </c>
      <c r="AA169">
        <v>16</v>
      </c>
      <c r="AB169" t="s">
        <v>97</v>
      </c>
      <c r="AC169" t="s">
        <v>179</v>
      </c>
      <c r="AD169" t="s">
        <v>178</v>
      </c>
    </row>
    <row r="170" spans="1:30">
      <c r="A170" t="s">
        <v>220</v>
      </c>
      <c r="B170" s="16">
        <v>44378</v>
      </c>
      <c r="C170" s="394">
        <v>44386</v>
      </c>
      <c r="D170" t="s">
        <v>82</v>
      </c>
      <c r="E170">
        <v>6328</v>
      </c>
      <c r="F170">
        <v>500</v>
      </c>
      <c r="G170">
        <v>469</v>
      </c>
      <c r="H170">
        <v>266</v>
      </c>
      <c r="I170">
        <v>394</v>
      </c>
      <c r="J170">
        <v>46</v>
      </c>
      <c r="K170">
        <v>60</v>
      </c>
      <c r="L170">
        <v>43</v>
      </c>
      <c r="M170">
        <v>41</v>
      </c>
      <c r="N170">
        <v>41</v>
      </c>
      <c r="O170">
        <v>339</v>
      </c>
      <c r="P170">
        <v>260</v>
      </c>
      <c r="Q170">
        <v>258</v>
      </c>
      <c r="R170">
        <v>245</v>
      </c>
      <c r="S170">
        <v>696</v>
      </c>
      <c r="T170">
        <v>262</v>
      </c>
      <c r="U170">
        <v>434</v>
      </c>
      <c r="V170">
        <v>65</v>
      </c>
      <c r="W170">
        <v>191</v>
      </c>
      <c r="X170">
        <v>89</v>
      </c>
      <c r="Y170">
        <v>321</v>
      </c>
      <c r="Z170">
        <v>156</v>
      </c>
      <c r="AA170">
        <v>29</v>
      </c>
      <c r="AB170" t="s">
        <v>84</v>
      </c>
      <c r="AC170" t="s">
        <v>166</v>
      </c>
      <c r="AD170" t="s">
        <v>163</v>
      </c>
    </row>
    <row r="171" spans="1:30">
      <c r="A171" t="s">
        <v>220</v>
      </c>
      <c r="B171" s="16">
        <v>44378</v>
      </c>
      <c r="C171" s="394">
        <v>44386</v>
      </c>
      <c r="D171" t="s">
        <v>54</v>
      </c>
      <c r="E171">
        <v>6493</v>
      </c>
      <c r="F171">
        <v>414</v>
      </c>
      <c r="G171">
        <v>375</v>
      </c>
      <c r="H171">
        <v>191</v>
      </c>
      <c r="I171">
        <v>275</v>
      </c>
      <c r="J171">
        <v>24</v>
      </c>
      <c r="K171">
        <v>102</v>
      </c>
      <c r="L171">
        <v>76</v>
      </c>
      <c r="M171">
        <v>49</v>
      </c>
      <c r="N171">
        <v>54</v>
      </c>
      <c r="O171">
        <v>331</v>
      </c>
      <c r="P171">
        <v>259</v>
      </c>
      <c r="Q171">
        <v>249</v>
      </c>
      <c r="R171">
        <v>242</v>
      </c>
      <c r="S171">
        <v>874</v>
      </c>
      <c r="T171">
        <v>435</v>
      </c>
      <c r="U171">
        <v>439</v>
      </c>
      <c r="V171">
        <v>20</v>
      </c>
      <c r="W171">
        <v>264</v>
      </c>
      <c r="X171">
        <v>89</v>
      </c>
      <c r="Y171">
        <v>387</v>
      </c>
      <c r="Z171">
        <v>197</v>
      </c>
      <c r="AA171">
        <v>35</v>
      </c>
      <c r="AB171" t="s">
        <v>67</v>
      </c>
      <c r="AC171" t="s">
        <v>148</v>
      </c>
      <c r="AD171" t="s">
        <v>142</v>
      </c>
    </row>
    <row r="172" spans="1:30">
      <c r="A172" t="s">
        <v>220</v>
      </c>
      <c r="B172" s="16">
        <v>44378</v>
      </c>
      <c r="C172" s="394">
        <v>44386</v>
      </c>
      <c r="D172" t="s">
        <v>89</v>
      </c>
      <c r="E172">
        <v>11731</v>
      </c>
      <c r="F172">
        <v>872</v>
      </c>
      <c r="G172">
        <v>834</v>
      </c>
      <c r="H172">
        <v>567</v>
      </c>
      <c r="I172">
        <v>488</v>
      </c>
      <c r="J172">
        <v>60</v>
      </c>
      <c r="K172">
        <v>119</v>
      </c>
      <c r="L172">
        <v>93</v>
      </c>
      <c r="M172">
        <v>80</v>
      </c>
      <c r="N172">
        <v>83</v>
      </c>
      <c r="O172">
        <v>561</v>
      </c>
      <c r="P172">
        <v>400</v>
      </c>
      <c r="Q172">
        <v>379</v>
      </c>
      <c r="R172">
        <v>361</v>
      </c>
      <c r="S172">
        <v>1784</v>
      </c>
      <c r="T172">
        <v>912</v>
      </c>
      <c r="U172">
        <v>872</v>
      </c>
      <c r="V172">
        <v>289</v>
      </c>
      <c r="W172">
        <v>315</v>
      </c>
      <c r="X172">
        <v>166</v>
      </c>
      <c r="Y172">
        <v>412</v>
      </c>
      <c r="Z172">
        <v>228</v>
      </c>
      <c r="AA172">
        <v>19</v>
      </c>
      <c r="AB172" t="s">
        <v>91</v>
      </c>
      <c r="AC172" t="s">
        <v>173</v>
      </c>
      <c r="AD172" t="s">
        <v>171</v>
      </c>
    </row>
    <row r="173" spans="1:30">
      <c r="A173" t="s">
        <v>220</v>
      </c>
      <c r="B173" s="16">
        <v>44378</v>
      </c>
      <c r="C173" s="394">
        <v>44386</v>
      </c>
      <c r="D173" t="s">
        <v>101</v>
      </c>
      <c r="E173">
        <v>4444</v>
      </c>
      <c r="F173">
        <v>230</v>
      </c>
      <c r="G173">
        <v>216</v>
      </c>
      <c r="H173">
        <v>200</v>
      </c>
      <c r="I173">
        <v>142</v>
      </c>
      <c r="J173">
        <v>46</v>
      </c>
      <c r="K173">
        <v>29</v>
      </c>
      <c r="L173">
        <v>22</v>
      </c>
      <c r="M173">
        <v>20</v>
      </c>
      <c r="N173">
        <v>12</v>
      </c>
      <c r="O173">
        <v>194</v>
      </c>
      <c r="P173">
        <v>166</v>
      </c>
      <c r="Q173">
        <v>163</v>
      </c>
      <c r="R173">
        <v>149</v>
      </c>
      <c r="S173">
        <v>462</v>
      </c>
      <c r="T173">
        <v>274</v>
      </c>
      <c r="U173">
        <v>188</v>
      </c>
      <c r="V173">
        <v>35</v>
      </c>
      <c r="W173">
        <v>82</v>
      </c>
      <c r="X173">
        <v>46</v>
      </c>
      <c r="Y173">
        <v>131</v>
      </c>
      <c r="Z173">
        <v>66</v>
      </c>
      <c r="AA173">
        <v>11</v>
      </c>
      <c r="AB173" t="s">
        <v>103</v>
      </c>
      <c r="AC173" t="s">
        <v>185</v>
      </c>
      <c r="AD173" t="s">
        <v>183</v>
      </c>
    </row>
    <row r="174" spans="1:30">
      <c r="A174" t="s">
        <v>220</v>
      </c>
      <c r="B174" s="16">
        <v>44378</v>
      </c>
      <c r="C174" s="394">
        <v>44386</v>
      </c>
      <c r="D174" t="s">
        <v>66</v>
      </c>
      <c r="E174">
        <v>3236</v>
      </c>
      <c r="F174">
        <v>122</v>
      </c>
      <c r="G174">
        <v>110</v>
      </c>
      <c r="H174">
        <v>83</v>
      </c>
      <c r="I174">
        <v>64</v>
      </c>
      <c r="J174">
        <v>15</v>
      </c>
      <c r="K174">
        <v>40</v>
      </c>
      <c r="L174">
        <v>28</v>
      </c>
      <c r="M174">
        <v>7</v>
      </c>
      <c r="N174">
        <v>1</v>
      </c>
      <c r="O174">
        <v>182</v>
      </c>
      <c r="P174">
        <v>118</v>
      </c>
      <c r="Q174">
        <v>117</v>
      </c>
      <c r="R174">
        <v>117</v>
      </c>
      <c r="S174">
        <v>294</v>
      </c>
      <c r="T174">
        <v>174</v>
      </c>
      <c r="U174">
        <v>120</v>
      </c>
      <c r="V174">
        <v>20</v>
      </c>
      <c r="W174">
        <v>72</v>
      </c>
      <c r="X174">
        <v>32</v>
      </c>
      <c r="Y174">
        <v>107</v>
      </c>
      <c r="Z174">
        <v>51</v>
      </c>
      <c r="AA174">
        <v>17</v>
      </c>
      <c r="AB174" t="s">
        <v>67</v>
      </c>
      <c r="AC174" t="s">
        <v>148</v>
      </c>
      <c r="AD174" t="s">
        <v>146</v>
      </c>
    </row>
    <row r="175" spans="1:30">
      <c r="A175" t="s">
        <v>220</v>
      </c>
      <c r="B175" s="16">
        <v>44378</v>
      </c>
      <c r="C175" s="394">
        <v>44386</v>
      </c>
      <c r="D175" t="s">
        <v>80</v>
      </c>
      <c r="E175">
        <v>5422</v>
      </c>
      <c r="F175">
        <v>361</v>
      </c>
      <c r="G175">
        <v>347</v>
      </c>
      <c r="H175">
        <v>291</v>
      </c>
      <c r="I175">
        <v>76</v>
      </c>
      <c r="J175">
        <v>6</v>
      </c>
      <c r="K175">
        <v>24</v>
      </c>
      <c r="L175">
        <v>15</v>
      </c>
      <c r="M175">
        <v>14</v>
      </c>
      <c r="N175">
        <v>15</v>
      </c>
      <c r="O175">
        <v>222</v>
      </c>
      <c r="P175">
        <v>173</v>
      </c>
      <c r="Q175">
        <v>167</v>
      </c>
      <c r="R175">
        <v>166</v>
      </c>
      <c r="S175">
        <v>607</v>
      </c>
      <c r="T175">
        <v>353</v>
      </c>
      <c r="U175">
        <v>254</v>
      </c>
      <c r="V175">
        <v>118</v>
      </c>
      <c r="W175">
        <v>137</v>
      </c>
      <c r="X175">
        <v>82</v>
      </c>
      <c r="Y175">
        <v>206</v>
      </c>
      <c r="Z175">
        <v>107</v>
      </c>
      <c r="AA175">
        <v>17</v>
      </c>
      <c r="AB175" t="s">
        <v>84</v>
      </c>
      <c r="AC175" t="s">
        <v>166</v>
      </c>
      <c r="AD175" t="s">
        <v>161</v>
      </c>
    </row>
    <row r="176" spans="1:30">
      <c r="A176" t="s">
        <v>220</v>
      </c>
      <c r="B176" s="16">
        <v>44378</v>
      </c>
      <c r="C176" s="394">
        <v>44386</v>
      </c>
      <c r="D176" t="s">
        <v>52</v>
      </c>
      <c r="E176">
        <v>3054</v>
      </c>
      <c r="F176">
        <v>216</v>
      </c>
      <c r="G176">
        <v>199</v>
      </c>
      <c r="H176">
        <v>125</v>
      </c>
      <c r="I176">
        <v>72</v>
      </c>
      <c r="J176">
        <v>13</v>
      </c>
      <c r="K176">
        <v>113</v>
      </c>
      <c r="L176">
        <v>68</v>
      </c>
      <c r="M176">
        <v>43</v>
      </c>
      <c r="N176">
        <v>6</v>
      </c>
      <c r="O176">
        <v>216</v>
      </c>
      <c r="P176">
        <v>123</v>
      </c>
      <c r="Q176">
        <v>118</v>
      </c>
      <c r="R176">
        <v>98</v>
      </c>
      <c r="S176">
        <v>753</v>
      </c>
      <c r="T176">
        <v>509</v>
      </c>
      <c r="U176">
        <v>244</v>
      </c>
      <c r="V176">
        <v>47</v>
      </c>
      <c r="W176">
        <v>216</v>
      </c>
      <c r="X176">
        <v>76</v>
      </c>
      <c r="Y176">
        <v>256</v>
      </c>
      <c r="Z176">
        <v>154</v>
      </c>
      <c r="AA176">
        <v>33</v>
      </c>
      <c r="AB176" t="s">
        <v>67</v>
      </c>
      <c r="AC176" t="s">
        <v>148</v>
      </c>
      <c r="AD176" t="s">
        <v>141</v>
      </c>
    </row>
    <row r="177" spans="1:30">
      <c r="A177" t="s">
        <v>220</v>
      </c>
      <c r="B177" s="16">
        <v>44378</v>
      </c>
      <c r="C177" s="394">
        <v>44386</v>
      </c>
      <c r="D177" t="s">
        <v>87</v>
      </c>
      <c r="E177">
        <v>2965</v>
      </c>
      <c r="F177">
        <v>248</v>
      </c>
      <c r="G177">
        <v>236</v>
      </c>
      <c r="H177">
        <v>187</v>
      </c>
      <c r="I177">
        <v>173</v>
      </c>
      <c r="J177">
        <v>33</v>
      </c>
      <c r="K177">
        <v>24</v>
      </c>
      <c r="L177">
        <v>20</v>
      </c>
      <c r="M177">
        <v>14</v>
      </c>
      <c r="N177">
        <v>17</v>
      </c>
      <c r="O177">
        <v>134</v>
      </c>
      <c r="P177">
        <v>89</v>
      </c>
      <c r="Q177">
        <v>87</v>
      </c>
      <c r="R177">
        <v>82</v>
      </c>
      <c r="S177">
        <v>455</v>
      </c>
      <c r="T177">
        <v>264</v>
      </c>
      <c r="U177">
        <v>191</v>
      </c>
      <c r="V177">
        <v>57</v>
      </c>
      <c r="W177">
        <v>86</v>
      </c>
      <c r="X177">
        <v>42</v>
      </c>
      <c r="Y177">
        <v>120</v>
      </c>
      <c r="Z177">
        <v>80</v>
      </c>
      <c r="AA177">
        <v>10</v>
      </c>
      <c r="AB177" t="s">
        <v>91</v>
      </c>
      <c r="AC177" t="s">
        <v>173</v>
      </c>
      <c r="AD177" t="s">
        <v>169</v>
      </c>
    </row>
    <row r="178" spans="1:30">
      <c r="A178" t="s">
        <v>220</v>
      </c>
      <c r="B178" s="16">
        <v>44378</v>
      </c>
      <c r="C178" s="394">
        <v>44386</v>
      </c>
      <c r="D178" t="s">
        <v>90</v>
      </c>
      <c r="E178">
        <v>2933</v>
      </c>
      <c r="F178">
        <v>217</v>
      </c>
      <c r="G178">
        <v>208</v>
      </c>
      <c r="H178">
        <v>162</v>
      </c>
      <c r="I178">
        <v>139</v>
      </c>
      <c r="J178">
        <v>16</v>
      </c>
      <c r="K178">
        <v>27</v>
      </c>
      <c r="L178">
        <v>25</v>
      </c>
      <c r="M178">
        <v>12</v>
      </c>
      <c r="N178">
        <v>6</v>
      </c>
      <c r="O178">
        <v>97</v>
      </c>
      <c r="P178">
        <v>85</v>
      </c>
      <c r="Q178">
        <v>79</v>
      </c>
      <c r="R178">
        <v>74</v>
      </c>
      <c r="S178">
        <v>338</v>
      </c>
      <c r="T178">
        <v>176</v>
      </c>
      <c r="U178">
        <v>162</v>
      </c>
      <c r="V178">
        <v>39</v>
      </c>
      <c r="W178">
        <v>86</v>
      </c>
      <c r="X178">
        <v>42</v>
      </c>
      <c r="Y178">
        <v>124</v>
      </c>
      <c r="Z178">
        <v>47</v>
      </c>
      <c r="AA178">
        <v>7</v>
      </c>
      <c r="AB178" t="s">
        <v>91</v>
      </c>
      <c r="AC178" t="s">
        <v>173</v>
      </c>
      <c r="AD178" t="s">
        <v>172</v>
      </c>
    </row>
    <row r="179" spans="1:30">
      <c r="A179" t="s">
        <v>220</v>
      </c>
      <c r="B179" s="16">
        <v>44378</v>
      </c>
      <c r="C179" s="394">
        <v>44386</v>
      </c>
      <c r="D179" t="s">
        <v>93</v>
      </c>
      <c r="E179">
        <v>2165</v>
      </c>
      <c r="F179">
        <v>203</v>
      </c>
      <c r="G179">
        <v>194</v>
      </c>
      <c r="H179">
        <v>128</v>
      </c>
      <c r="I179">
        <v>79</v>
      </c>
      <c r="J179">
        <v>7</v>
      </c>
      <c r="K179">
        <v>16</v>
      </c>
      <c r="L179">
        <v>7</v>
      </c>
      <c r="M179">
        <v>6</v>
      </c>
      <c r="N179">
        <v>7</v>
      </c>
      <c r="O179">
        <v>147</v>
      </c>
      <c r="P179">
        <v>94</v>
      </c>
      <c r="Q179">
        <v>89</v>
      </c>
      <c r="R179">
        <v>51</v>
      </c>
      <c r="S179">
        <v>365</v>
      </c>
      <c r="T179">
        <v>139</v>
      </c>
      <c r="U179">
        <v>226</v>
      </c>
      <c r="V179">
        <v>37</v>
      </c>
      <c r="W179">
        <v>86</v>
      </c>
      <c r="X179">
        <v>41</v>
      </c>
      <c r="Y179">
        <v>129</v>
      </c>
      <c r="Z179">
        <v>56</v>
      </c>
      <c r="AA179">
        <v>17</v>
      </c>
      <c r="AB179" t="s">
        <v>97</v>
      </c>
      <c r="AC179" t="s">
        <v>179</v>
      </c>
      <c r="AD179" t="s">
        <v>175</v>
      </c>
    </row>
    <row r="180" spans="1:30">
      <c r="A180" t="s">
        <v>220</v>
      </c>
      <c r="B180" s="16">
        <v>44378</v>
      </c>
      <c r="C180" s="394">
        <v>44386</v>
      </c>
      <c r="D180" t="s">
        <v>81</v>
      </c>
      <c r="E180">
        <v>2726</v>
      </c>
      <c r="F180">
        <v>202</v>
      </c>
      <c r="G180">
        <v>191</v>
      </c>
      <c r="H180">
        <v>50</v>
      </c>
      <c r="I180">
        <v>161</v>
      </c>
      <c r="J180">
        <v>24</v>
      </c>
      <c r="K180">
        <v>13</v>
      </c>
      <c r="L180">
        <v>9</v>
      </c>
      <c r="M180">
        <v>7</v>
      </c>
      <c r="N180">
        <v>9</v>
      </c>
      <c r="O180">
        <v>98</v>
      </c>
      <c r="P180">
        <v>68</v>
      </c>
      <c r="Q180">
        <v>62</v>
      </c>
      <c r="R180">
        <v>62</v>
      </c>
      <c r="S180">
        <v>338</v>
      </c>
      <c r="T180">
        <v>148</v>
      </c>
      <c r="U180">
        <v>190</v>
      </c>
      <c r="V180">
        <v>62</v>
      </c>
      <c r="W180">
        <v>64</v>
      </c>
      <c r="X180">
        <v>29</v>
      </c>
      <c r="Y180">
        <v>132</v>
      </c>
      <c r="Z180">
        <v>58</v>
      </c>
      <c r="AA180">
        <v>7</v>
      </c>
      <c r="AB180" t="s">
        <v>84</v>
      </c>
      <c r="AC180" t="s">
        <v>166</v>
      </c>
      <c r="AD180" t="s">
        <v>162</v>
      </c>
    </row>
    <row r="181" spans="1:30">
      <c r="A181" t="s">
        <v>220</v>
      </c>
      <c r="B181" s="16">
        <v>44378</v>
      </c>
      <c r="C181" s="394">
        <v>44386</v>
      </c>
      <c r="D181" t="s">
        <v>69</v>
      </c>
      <c r="E181">
        <v>6982</v>
      </c>
      <c r="F181">
        <v>477</v>
      </c>
      <c r="G181">
        <v>450</v>
      </c>
      <c r="H181">
        <v>333</v>
      </c>
      <c r="I181">
        <v>189</v>
      </c>
      <c r="J181">
        <v>34</v>
      </c>
      <c r="K181">
        <v>113</v>
      </c>
      <c r="L181">
        <v>77</v>
      </c>
      <c r="M181">
        <v>33</v>
      </c>
      <c r="N181">
        <v>33</v>
      </c>
      <c r="O181">
        <v>458</v>
      </c>
      <c r="P181">
        <v>314</v>
      </c>
      <c r="Q181">
        <v>284</v>
      </c>
      <c r="R181">
        <v>188</v>
      </c>
      <c r="S181">
        <v>1225</v>
      </c>
      <c r="T181">
        <v>561</v>
      </c>
      <c r="U181">
        <v>664</v>
      </c>
      <c r="V181">
        <v>115</v>
      </c>
      <c r="W181">
        <v>310</v>
      </c>
      <c r="X181">
        <v>145</v>
      </c>
      <c r="Y181">
        <v>496</v>
      </c>
      <c r="Z181">
        <v>210</v>
      </c>
      <c r="AA181">
        <v>6</v>
      </c>
      <c r="AB181" t="s">
        <v>74</v>
      </c>
      <c r="AC181" t="s">
        <v>154</v>
      </c>
      <c r="AD181" t="s">
        <v>150</v>
      </c>
    </row>
    <row r="182" spans="1:30">
      <c r="A182" t="s">
        <v>220</v>
      </c>
      <c r="B182" s="16">
        <v>44378</v>
      </c>
      <c r="C182" s="394">
        <v>44386</v>
      </c>
      <c r="D182" t="s">
        <v>65</v>
      </c>
      <c r="E182">
        <v>4955</v>
      </c>
      <c r="F182">
        <v>405</v>
      </c>
      <c r="G182">
        <v>382</v>
      </c>
      <c r="H182">
        <v>130</v>
      </c>
      <c r="I182">
        <v>271</v>
      </c>
      <c r="J182">
        <v>19</v>
      </c>
      <c r="K182">
        <v>80</v>
      </c>
      <c r="L182">
        <v>31</v>
      </c>
      <c r="M182">
        <v>15</v>
      </c>
      <c r="N182">
        <v>13</v>
      </c>
      <c r="O182">
        <v>314</v>
      </c>
      <c r="P182">
        <v>116</v>
      </c>
      <c r="Q182">
        <v>115</v>
      </c>
      <c r="R182">
        <v>116</v>
      </c>
      <c r="S182">
        <v>715</v>
      </c>
      <c r="T182">
        <v>268</v>
      </c>
      <c r="U182">
        <v>447</v>
      </c>
      <c r="V182">
        <v>43</v>
      </c>
      <c r="W182">
        <v>165</v>
      </c>
      <c r="X182">
        <v>87</v>
      </c>
      <c r="Y182">
        <v>279</v>
      </c>
      <c r="Z182">
        <v>107</v>
      </c>
      <c r="AA182">
        <v>25</v>
      </c>
      <c r="AB182" t="s">
        <v>67</v>
      </c>
      <c r="AC182" t="s">
        <v>148</v>
      </c>
      <c r="AD182" t="s">
        <v>145</v>
      </c>
    </row>
    <row r="183" spans="1:30">
      <c r="A183" t="s">
        <v>220</v>
      </c>
      <c r="B183" s="16">
        <v>44409</v>
      </c>
      <c r="C183" s="394">
        <v>44410</v>
      </c>
      <c r="D183" t="s">
        <v>94</v>
      </c>
      <c r="E183">
        <v>6177</v>
      </c>
      <c r="F183">
        <v>525</v>
      </c>
      <c r="G183">
        <v>496</v>
      </c>
      <c r="H183">
        <v>291</v>
      </c>
      <c r="I183">
        <v>316</v>
      </c>
      <c r="J183">
        <v>39</v>
      </c>
      <c r="K183">
        <v>83</v>
      </c>
      <c r="L183">
        <v>47</v>
      </c>
      <c r="M183">
        <v>27</v>
      </c>
      <c r="N183">
        <v>31</v>
      </c>
      <c r="O183">
        <v>311</v>
      </c>
      <c r="P183">
        <v>158</v>
      </c>
      <c r="Q183">
        <v>149</v>
      </c>
      <c r="R183">
        <v>152</v>
      </c>
      <c r="S183">
        <v>888</v>
      </c>
      <c r="T183">
        <v>346</v>
      </c>
      <c r="U183">
        <v>542</v>
      </c>
      <c r="V183">
        <v>83</v>
      </c>
      <c r="W183">
        <v>231</v>
      </c>
      <c r="X183">
        <v>105</v>
      </c>
      <c r="Y183">
        <v>322</v>
      </c>
      <c r="Z183">
        <v>136</v>
      </c>
      <c r="AA183">
        <v>14</v>
      </c>
      <c r="AB183" t="s">
        <v>97</v>
      </c>
      <c r="AC183" t="s">
        <v>179</v>
      </c>
      <c r="AD183" t="s">
        <v>176</v>
      </c>
    </row>
    <row r="184" spans="1:30">
      <c r="A184" t="s">
        <v>220</v>
      </c>
      <c r="B184" s="16">
        <v>44409</v>
      </c>
      <c r="C184" s="394">
        <v>44410</v>
      </c>
      <c r="D184" t="s">
        <v>56</v>
      </c>
      <c r="E184">
        <v>12512</v>
      </c>
      <c r="F184">
        <v>678</v>
      </c>
      <c r="G184">
        <v>635</v>
      </c>
      <c r="H184">
        <v>331</v>
      </c>
      <c r="I184">
        <v>375</v>
      </c>
      <c r="J184">
        <v>37</v>
      </c>
      <c r="K184">
        <v>160</v>
      </c>
      <c r="L184">
        <v>137</v>
      </c>
      <c r="M184">
        <v>84</v>
      </c>
      <c r="N184">
        <v>76</v>
      </c>
      <c r="O184">
        <v>749</v>
      </c>
      <c r="P184">
        <v>467</v>
      </c>
      <c r="Q184">
        <v>20</v>
      </c>
      <c r="R184">
        <v>444</v>
      </c>
      <c r="S184">
        <v>1953</v>
      </c>
      <c r="T184">
        <v>449</v>
      </c>
      <c r="U184">
        <v>1504</v>
      </c>
      <c r="V184">
        <v>752</v>
      </c>
      <c r="W184">
        <v>550</v>
      </c>
      <c r="X184">
        <v>278</v>
      </c>
      <c r="Y184">
        <v>798</v>
      </c>
      <c r="Z184">
        <v>413</v>
      </c>
      <c r="AB184" t="s">
        <v>74</v>
      </c>
      <c r="AC184" t="s">
        <v>154</v>
      </c>
      <c r="AD184" t="s">
        <v>50</v>
      </c>
    </row>
    <row r="185" spans="1:30">
      <c r="A185" t="s">
        <v>220</v>
      </c>
      <c r="B185" s="16">
        <v>44409</v>
      </c>
      <c r="C185" s="394">
        <v>44410</v>
      </c>
      <c r="D185" t="s">
        <v>61</v>
      </c>
      <c r="E185">
        <v>7184</v>
      </c>
      <c r="F185">
        <v>349</v>
      </c>
      <c r="G185">
        <v>320</v>
      </c>
      <c r="H185">
        <v>211</v>
      </c>
      <c r="I185">
        <v>231</v>
      </c>
      <c r="J185">
        <v>47</v>
      </c>
      <c r="K185">
        <v>107</v>
      </c>
      <c r="L185">
        <v>63</v>
      </c>
      <c r="M185">
        <v>15</v>
      </c>
      <c r="N185">
        <v>26</v>
      </c>
      <c r="O185">
        <v>348</v>
      </c>
      <c r="P185">
        <v>151</v>
      </c>
      <c r="Q185">
        <v>140</v>
      </c>
      <c r="R185">
        <v>136</v>
      </c>
      <c r="S185">
        <v>802</v>
      </c>
      <c r="T185">
        <v>468</v>
      </c>
      <c r="U185">
        <v>334</v>
      </c>
      <c r="V185">
        <v>94</v>
      </c>
      <c r="W185">
        <v>154</v>
      </c>
      <c r="X185">
        <v>79</v>
      </c>
      <c r="Y185">
        <v>267</v>
      </c>
      <c r="Z185">
        <v>137</v>
      </c>
      <c r="AA185">
        <v>24</v>
      </c>
      <c r="AB185" t="s">
        <v>67</v>
      </c>
      <c r="AC185" t="s">
        <v>148</v>
      </c>
      <c r="AD185" t="s">
        <v>143</v>
      </c>
    </row>
    <row r="186" spans="1:30">
      <c r="A186" t="s">
        <v>220</v>
      </c>
      <c r="B186" s="16">
        <v>44409</v>
      </c>
      <c r="C186" s="394">
        <v>44410</v>
      </c>
      <c r="D186" t="s">
        <v>98</v>
      </c>
      <c r="E186">
        <v>5214</v>
      </c>
      <c r="F186">
        <v>420</v>
      </c>
      <c r="G186">
        <v>400</v>
      </c>
      <c r="H186">
        <v>294</v>
      </c>
      <c r="I186">
        <v>273</v>
      </c>
      <c r="J186">
        <v>37</v>
      </c>
      <c r="K186">
        <v>57</v>
      </c>
      <c r="L186">
        <v>35</v>
      </c>
      <c r="M186">
        <v>24</v>
      </c>
      <c r="N186">
        <v>26</v>
      </c>
      <c r="O186">
        <v>242</v>
      </c>
      <c r="P186">
        <v>129</v>
      </c>
      <c r="Q186">
        <v>124</v>
      </c>
      <c r="R186">
        <v>127</v>
      </c>
      <c r="S186">
        <v>803</v>
      </c>
      <c r="T186">
        <v>343</v>
      </c>
      <c r="U186">
        <v>460</v>
      </c>
      <c r="V186">
        <v>119</v>
      </c>
      <c r="W186">
        <v>170</v>
      </c>
      <c r="X186">
        <v>99</v>
      </c>
      <c r="Y186">
        <v>295</v>
      </c>
      <c r="Z186">
        <v>138</v>
      </c>
      <c r="AA186">
        <v>19</v>
      </c>
      <c r="AB186" t="s">
        <v>103</v>
      </c>
      <c r="AC186" t="s">
        <v>185</v>
      </c>
      <c r="AD186" t="s">
        <v>180</v>
      </c>
    </row>
    <row r="187" spans="1:30">
      <c r="A187" t="s">
        <v>220</v>
      </c>
      <c r="B187" s="16">
        <v>44409</v>
      </c>
      <c r="C187" s="394">
        <v>44410</v>
      </c>
      <c r="D187" t="s">
        <v>75</v>
      </c>
      <c r="E187">
        <v>7717</v>
      </c>
      <c r="F187">
        <v>738</v>
      </c>
      <c r="G187">
        <v>700</v>
      </c>
      <c r="H187">
        <v>602</v>
      </c>
      <c r="I187">
        <v>317</v>
      </c>
      <c r="J187">
        <v>63</v>
      </c>
      <c r="K187">
        <v>93</v>
      </c>
      <c r="L187">
        <v>88</v>
      </c>
      <c r="M187">
        <v>85</v>
      </c>
      <c r="N187">
        <v>78</v>
      </c>
      <c r="O187">
        <v>341</v>
      </c>
      <c r="P187">
        <v>298</v>
      </c>
      <c r="Q187">
        <v>293</v>
      </c>
      <c r="R187">
        <v>294</v>
      </c>
      <c r="S187">
        <v>1134</v>
      </c>
      <c r="T187">
        <v>595</v>
      </c>
      <c r="U187">
        <v>539</v>
      </c>
      <c r="V187">
        <v>146</v>
      </c>
      <c r="W187">
        <v>351</v>
      </c>
      <c r="X187">
        <v>194</v>
      </c>
      <c r="Y187">
        <v>508</v>
      </c>
      <c r="Z187">
        <v>229</v>
      </c>
      <c r="AA187">
        <v>61</v>
      </c>
      <c r="AB187" t="s">
        <v>77</v>
      </c>
      <c r="AC187" t="s">
        <v>158</v>
      </c>
      <c r="AD187" t="s">
        <v>155</v>
      </c>
    </row>
    <row r="188" spans="1:30">
      <c r="A188" t="s">
        <v>220</v>
      </c>
      <c r="B188" s="16">
        <v>44409</v>
      </c>
      <c r="C188" s="394">
        <v>44410</v>
      </c>
      <c r="D188" t="s">
        <v>63</v>
      </c>
      <c r="E188">
        <v>7780</v>
      </c>
      <c r="F188">
        <v>668</v>
      </c>
      <c r="G188">
        <v>620</v>
      </c>
      <c r="H188">
        <v>171</v>
      </c>
      <c r="I188">
        <v>428</v>
      </c>
      <c r="J188">
        <v>29</v>
      </c>
      <c r="K188">
        <v>109</v>
      </c>
      <c r="L188">
        <v>90</v>
      </c>
      <c r="M188">
        <v>4</v>
      </c>
      <c r="N188">
        <v>3</v>
      </c>
      <c r="O188">
        <v>399</v>
      </c>
      <c r="P188">
        <v>301</v>
      </c>
      <c r="Q188">
        <v>3</v>
      </c>
      <c r="R188">
        <v>290</v>
      </c>
      <c r="S188">
        <v>1307</v>
      </c>
      <c r="T188">
        <v>400</v>
      </c>
      <c r="U188">
        <v>907</v>
      </c>
      <c r="V188">
        <v>505</v>
      </c>
      <c r="W188">
        <v>344</v>
      </c>
      <c r="X188">
        <v>124</v>
      </c>
      <c r="Y188">
        <v>450</v>
      </c>
      <c r="Z188">
        <v>211</v>
      </c>
      <c r="AA188">
        <v>46</v>
      </c>
      <c r="AB188" t="s">
        <v>84</v>
      </c>
      <c r="AC188" t="s">
        <v>166</v>
      </c>
      <c r="AD188" t="s">
        <v>219</v>
      </c>
    </row>
    <row r="189" spans="1:30">
      <c r="A189" t="s">
        <v>220</v>
      </c>
      <c r="B189" s="16">
        <v>44409</v>
      </c>
      <c r="C189" s="394">
        <v>44410</v>
      </c>
      <c r="D189" t="s">
        <v>58</v>
      </c>
      <c r="E189">
        <v>5587</v>
      </c>
      <c r="F189">
        <v>407</v>
      </c>
      <c r="G189">
        <v>379</v>
      </c>
      <c r="H189">
        <v>207</v>
      </c>
      <c r="I189">
        <v>312</v>
      </c>
      <c r="J189">
        <v>39</v>
      </c>
      <c r="K189">
        <v>76</v>
      </c>
      <c r="L189">
        <v>73</v>
      </c>
      <c r="O189">
        <v>359</v>
      </c>
      <c r="P189">
        <v>355</v>
      </c>
      <c r="Q189">
        <v>51</v>
      </c>
      <c r="R189">
        <v>302</v>
      </c>
      <c r="S189">
        <v>715</v>
      </c>
      <c r="T189">
        <v>402</v>
      </c>
      <c r="U189">
        <v>313</v>
      </c>
      <c r="V189">
        <v>174</v>
      </c>
      <c r="W189">
        <v>220</v>
      </c>
      <c r="X189">
        <v>108</v>
      </c>
      <c r="Y189">
        <v>335</v>
      </c>
      <c r="Z189">
        <v>132</v>
      </c>
      <c r="AA189">
        <v>26</v>
      </c>
      <c r="AB189" t="s">
        <v>67</v>
      </c>
      <c r="AC189" t="s">
        <v>148</v>
      </c>
      <c r="AD189" t="s">
        <v>49</v>
      </c>
    </row>
    <row r="190" spans="1:30">
      <c r="A190" t="s">
        <v>220</v>
      </c>
      <c r="B190" s="16">
        <v>44409</v>
      </c>
      <c r="C190" s="394">
        <v>44410</v>
      </c>
      <c r="D190" t="s">
        <v>99</v>
      </c>
      <c r="E190">
        <v>6255</v>
      </c>
      <c r="F190">
        <v>554</v>
      </c>
      <c r="G190">
        <v>538</v>
      </c>
      <c r="H190">
        <v>473</v>
      </c>
      <c r="I190">
        <v>445</v>
      </c>
      <c r="J190">
        <v>111</v>
      </c>
      <c r="K190">
        <v>38</v>
      </c>
      <c r="L190">
        <v>11</v>
      </c>
      <c r="M190">
        <v>6</v>
      </c>
      <c r="N190">
        <v>9</v>
      </c>
      <c r="O190">
        <v>337</v>
      </c>
      <c r="P190">
        <v>276</v>
      </c>
      <c r="Q190">
        <v>258</v>
      </c>
      <c r="R190">
        <v>271</v>
      </c>
      <c r="S190">
        <v>710</v>
      </c>
      <c r="T190">
        <v>361</v>
      </c>
      <c r="U190">
        <v>349</v>
      </c>
      <c r="V190">
        <v>84</v>
      </c>
      <c r="W190">
        <v>201</v>
      </c>
      <c r="X190">
        <v>128</v>
      </c>
      <c r="Y190">
        <v>335</v>
      </c>
      <c r="Z190">
        <v>165</v>
      </c>
      <c r="AA190">
        <v>27</v>
      </c>
      <c r="AB190" t="s">
        <v>103</v>
      </c>
      <c r="AC190" t="s">
        <v>185</v>
      </c>
      <c r="AD190" t="s">
        <v>221</v>
      </c>
    </row>
    <row r="191" spans="1:30">
      <c r="A191" t="s">
        <v>220</v>
      </c>
      <c r="B191" s="16">
        <v>44409</v>
      </c>
      <c r="C191" s="394">
        <v>44410</v>
      </c>
      <c r="D191" t="s">
        <v>78</v>
      </c>
      <c r="E191">
        <v>12041</v>
      </c>
      <c r="F191">
        <v>788</v>
      </c>
      <c r="G191">
        <v>718</v>
      </c>
      <c r="H191">
        <v>314</v>
      </c>
      <c r="I191">
        <v>566</v>
      </c>
      <c r="J191">
        <v>53</v>
      </c>
      <c r="K191">
        <v>108</v>
      </c>
      <c r="L191">
        <v>23</v>
      </c>
      <c r="M191">
        <v>16</v>
      </c>
      <c r="N191">
        <v>20</v>
      </c>
      <c r="O191">
        <v>600</v>
      </c>
      <c r="P191">
        <v>133</v>
      </c>
      <c r="Q191">
        <v>115</v>
      </c>
      <c r="R191">
        <v>101</v>
      </c>
      <c r="S191">
        <v>1442</v>
      </c>
      <c r="T191">
        <v>402</v>
      </c>
      <c r="U191">
        <v>1040</v>
      </c>
      <c r="V191">
        <v>77</v>
      </c>
      <c r="W191">
        <v>353</v>
      </c>
      <c r="X191">
        <v>158</v>
      </c>
      <c r="Y191">
        <v>560</v>
      </c>
      <c r="Z191">
        <v>220</v>
      </c>
      <c r="AA191">
        <v>47</v>
      </c>
      <c r="AB191" t="s">
        <v>84</v>
      </c>
      <c r="AC191" t="s">
        <v>166</v>
      </c>
      <c r="AD191" t="s">
        <v>159</v>
      </c>
    </row>
    <row r="192" spans="1:30">
      <c r="A192" t="s">
        <v>220</v>
      </c>
      <c r="B192" s="16">
        <v>44409</v>
      </c>
      <c r="C192" s="394">
        <v>44410</v>
      </c>
      <c r="D192" t="s">
        <v>76</v>
      </c>
      <c r="E192">
        <v>8547</v>
      </c>
      <c r="F192">
        <v>799</v>
      </c>
      <c r="G192">
        <v>771</v>
      </c>
      <c r="H192">
        <v>676</v>
      </c>
      <c r="I192">
        <v>435</v>
      </c>
      <c r="J192">
        <v>79</v>
      </c>
      <c r="K192">
        <v>46</v>
      </c>
      <c r="L192">
        <v>44</v>
      </c>
      <c r="M192">
        <v>42</v>
      </c>
      <c r="N192">
        <v>38</v>
      </c>
      <c r="O192">
        <v>437</v>
      </c>
      <c r="P192">
        <v>342</v>
      </c>
      <c r="Q192">
        <v>336</v>
      </c>
      <c r="R192">
        <v>330</v>
      </c>
      <c r="S192">
        <v>1105</v>
      </c>
      <c r="T192">
        <v>588</v>
      </c>
      <c r="U192">
        <v>517</v>
      </c>
      <c r="V192">
        <v>149</v>
      </c>
      <c r="W192">
        <v>345</v>
      </c>
      <c r="X192">
        <v>189</v>
      </c>
      <c r="Y192">
        <v>445</v>
      </c>
      <c r="Z192">
        <v>185</v>
      </c>
      <c r="AA192">
        <v>72</v>
      </c>
      <c r="AB192" t="s">
        <v>77</v>
      </c>
      <c r="AC192" t="s">
        <v>158</v>
      </c>
      <c r="AD192" t="s">
        <v>156</v>
      </c>
    </row>
    <row r="193" spans="1:30">
      <c r="A193" t="s">
        <v>220</v>
      </c>
      <c r="B193" s="16">
        <v>44409</v>
      </c>
      <c r="C193" s="394">
        <v>44410</v>
      </c>
      <c r="D193" t="s">
        <v>79</v>
      </c>
      <c r="E193">
        <v>8116</v>
      </c>
      <c r="F193">
        <v>389</v>
      </c>
      <c r="G193">
        <v>355</v>
      </c>
      <c r="H193">
        <v>215</v>
      </c>
      <c r="I193">
        <v>219</v>
      </c>
      <c r="J193">
        <v>15</v>
      </c>
      <c r="K193">
        <v>32</v>
      </c>
      <c r="L193">
        <v>11</v>
      </c>
      <c r="M193">
        <v>8</v>
      </c>
      <c r="N193">
        <v>9</v>
      </c>
      <c r="O193">
        <v>316</v>
      </c>
      <c r="P193">
        <v>195</v>
      </c>
      <c r="Q193">
        <v>192</v>
      </c>
      <c r="R193">
        <v>180</v>
      </c>
      <c r="S193">
        <v>751</v>
      </c>
      <c r="T193">
        <v>279</v>
      </c>
      <c r="U193">
        <v>472</v>
      </c>
      <c r="V193">
        <v>104</v>
      </c>
      <c r="W193">
        <v>143</v>
      </c>
      <c r="X193">
        <v>82</v>
      </c>
      <c r="Y193">
        <v>251</v>
      </c>
      <c r="Z193">
        <v>135</v>
      </c>
      <c r="AA193">
        <v>25</v>
      </c>
      <c r="AB193" t="s">
        <v>84</v>
      </c>
      <c r="AC193" t="s">
        <v>166</v>
      </c>
      <c r="AD193" t="s">
        <v>160</v>
      </c>
    </row>
    <row r="194" spans="1:30">
      <c r="A194" t="s">
        <v>220</v>
      </c>
      <c r="B194" s="16">
        <v>44409</v>
      </c>
      <c r="C194" s="394">
        <v>44410</v>
      </c>
      <c r="D194" t="s">
        <v>86</v>
      </c>
      <c r="E194">
        <v>1673</v>
      </c>
      <c r="F194">
        <v>131</v>
      </c>
      <c r="G194">
        <v>128</v>
      </c>
      <c r="H194">
        <v>105</v>
      </c>
      <c r="I194">
        <v>106</v>
      </c>
      <c r="J194">
        <v>9</v>
      </c>
      <c r="K194">
        <v>19</v>
      </c>
      <c r="L194">
        <v>15</v>
      </c>
      <c r="M194">
        <v>9</v>
      </c>
      <c r="N194">
        <v>6</v>
      </c>
      <c r="O194">
        <v>86</v>
      </c>
      <c r="P194">
        <v>59</v>
      </c>
      <c r="Q194">
        <v>59</v>
      </c>
      <c r="R194">
        <v>59</v>
      </c>
      <c r="S194">
        <v>265</v>
      </c>
      <c r="T194">
        <v>105</v>
      </c>
      <c r="U194">
        <v>160</v>
      </c>
      <c r="V194">
        <v>27</v>
      </c>
      <c r="W194">
        <v>72</v>
      </c>
      <c r="X194">
        <v>32</v>
      </c>
      <c r="Y194">
        <v>77</v>
      </c>
      <c r="Z194">
        <v>21</v>
      </c>
      <c r="AA194">
        <v>10</v>
      </c>
      <c r="AB194" t="s">
        <v>91</v>
      </c>
      <c r="AC194" t="s">
        <v>173</v>
      </c>
      <c r="AD194" t="s">
        <v>168</v>
      </c>
    </row>
    <row r="195" spans="1:30">
      <c r="A195" t="s">
        <v>220</v>
      </c>
      <c r="B195" s="16">
        <v>44409</v>
      </c>
      <c r="C195" s="394">
        <v>44410</v>
      </c>
      <c r="D195" t="s">
        <v>102</v>
      </c>
      <c r="E195">
        <v>12727</v>
      </c>
      <c r="F195">
        <v>784</v>
      </c>
      <c r="G195">
        <v>727</v>
      </c>
      <c r="H195">
        <v>402</v>
      </c>
      <c r="I195">
        <v>570</v>
      </c>
      <c r="J195">
        <v>84</v>
      </c>
      <c r="K195">
        <v>108</v>
      </c>
      <c r="L195">
        <v>5</v>
      </c>
      <c r="M195">
        <v>2</v>
      </c>
      <c r="N195">
        <v>3</v>
      </c>
      <c r="O195">
        <v>571</v>
      </c>
      <c r="P195">
        <v>95</v>
      </c>
      <c r="Q195">
        <v>42</v>
      </c>
      <c r="R195">
        <v>36</v>
      </c>
      <c r="S195">
        <v>1446</v>
      </c>
      <c r="T195">
        <v>639</v>
      </c>
      <c r="U195">
        <v>807</v>
      </c>
      <c r="V195">
        <v>114</v>
      </c>
      <c r="W195">
        <v>335</v>
      </c>
      <c r="X195">
        <v>185</v>
      </c>
      <c r="Y195">
        <v>485</v>
      </c>
      <c r="Z195">
        <v>240</v>
      </c>
      <c r="AA195">
        <v>27</v>
      </c>
      <c r="AB195" t="s">
        <v>103</v>
      </c>
      <c r="AC195" t="s">
        <v>185</v>
      </c>
      <c r="AD195" t="s">
        <v>184</v>
      </c>
    </row>
    <row r="196" spans="1:30">
      <c r="A196" t="s">
        <v>220</v>
      </c>
      <c r="B196" s="16">
        <v>44409</v>
      </c>
      <c r="C196" s="394">
        <v>44410</v>
      </c>
      <c r="D196" t="s">
        <v>100</v>
      </c>
      <c r="E196">
        <v>5885</v>
      </c>
      <c r="F196">
        <v>467</v>
      </c>
      <c r="G196">
        <v>439</v>
      </c>
      <c r="H196">
        <v>167</v>
      </c>
      <c r="I196">
        <v>300</v>
      </c>
      <c r="J196">
        <v>39</v>
      </c>
      <c r="K196">
        <v>67</v>
      </c>
      <c r="L196">
        <v>19</v>
      </c>
      <c r="M196">
        <v>1</v>
      </c>
      <c r="N196">
        <v>2</v>
      </c>
      <c r="O196">
        <v>263</v>
      </c>
      <c r="P196">
        <v>122</v>
      </c>
      <c r="Q196">
        <v>85</v>
      </c>
      <c r="R196">
        <v>71</v>
      </c>
      <c r="S196">
        <v>813</v>
      </c>
      <c r="T196">
        <v>293</v>
      </c>
      <c r="U196">
        <v>520</v>
      </c>
      <c r="V196">
        <v>68</v>
      </c>
      <c r="W196">
        <v>205</v>
      </c>
      <c r="X196">
        <v>113</v>
      </c>
      <c r="Y196">
        <v>297</v>
      </c>
      <c r="Z196">
        <v>160</v>
      </c>
      <c r="AA196">
        <v>40</v>
      </c>
      <c r="AB196" t="s">
        <v>103</v>
      </c>
      <c r="AC196" t="s">
        <v>185</v>
      </c>
      <c r="AD196" t="s">
        <v>182</v>
      </c>
    </row>
    <row r="197" spans="1:30">
      <c r="A197" t="s">
        <v>220</v>
      </c>
      <c r="B197" s="16">
        <v>44409</v>
      </c>
      <c r="C197" s="394">
        <v>44410</v>
      </c>
      <c r="D197" t="s">
        <v>59</v>
      </c>
      <c r="E197">
        <v>11863</v>
      </c>
      <c r="F197">
        <v>861</v>
      </c>
      <c r="G197">
        <v>822</v>
      </c>
      <c r="H197">
        <v>704</v>
      </c>
      <c r="I197">
        <v>678</v>
      </c>
      <c r="J197">
        <v>90</v>
      </c>
      <c r="K197">
        <v>113</v>
      </c>
      <c r="L197">
        <v>106</v>
      </c>
      <c r="M197">
        <v>49</v>
      </c>
      <c r="N197">
        <v>74</v>
      </c>
      <c r="O197">
        <v>583</v>
      </c>
      <c r="P197">
        <v>445</v>
      </c>
      <c r="Q197">
        <v>19</v>
      </c>
      <c r="R197">
        <v>435</v>
      </c>
      <c r="S197">
        <v>1490</v>
      </c>
      <c r="T197">
        <v>689</v>
      </c>
      <c r="U197">
        <v>801</v>
      </c>
      <c r="V197">
        <v>511</v>
      </c>
      <c r="W197">
        <v>576</v>
      </c>
      <c r="X197">
        <v>219</v>
      </c>
      <c r="Y197">
        <v>495</v>
      </c>
      <c r="Z197">
        <v>224</v>
      </c>
      <c r="AA197">
        <v>3</v>
      </c>
      <c r="AB197" t="s">
        <v>77</v>
      </c>
      <c r="AC197" t="s">
        <v>158</v>
      </c>
      <c r="AD197" t="s">
        <v>51</v>
      </c>
    </row>
    <row r="198" spans="1:30">
      <c r="A198" t="s">
        <v>220</v>
      </c>
      <c r="B198" s="16">
        <v>44409</v>
      </c>
      <c r="C198" s="394">
        <v>44410</v>
      </c>
      <c r="D198" t="s">
        <v>71</v>
      </c>
      <c r="E198">
        <v>5757</v>
      </c>
      <c r="F198">
        <v>348</v>
      </c>
      <c r="G198">
        <v>320</v>
      </c>
      <c r="H198">
        <v>132</v>
      </c>
      <c r="I198">
        <v>154</v>
      </c>
      <c r="J198">
        <v>5</v>
      </c>
      <c r="K198">
        <v>74</v>
      </c>
      <c r="L198">
        <v>40</v>
      </c>
      <c r="M198">
        <v>8</v>
      </c>
      <c r="N198">
        <v>27</v>
      </c>
      <c r="O198">
        <v>323</v>
      </c>
      <c r="P198">
        <v>126</v>
      </c>
      <c r="Q198">
        <v>123</v>
      </c>
      <c r="R198">
        <v>119</v>
      </c>
      <c r="S198">
        <v>1097</v>
      </c>
      <c r="T198">
        <v>419</v>
      </c>
      <c r="U198">
        <v>678</v>
      </c>
      <c r="V198">
        <v>29</v>
      </c>
      <c r="W198">
        <v>284</v>
      </c>
      <c r="X198">
        <v>129</v>
      </c>
      <c r="Y198">
        <v>491</v>
      </c>
      <c r="Z198">
        <v>277</v>
      </c>
      <c r="AA198">
        <v>6</v>
      </c>
      <c r="AB198" t="s">
        <v>74</v>
      </c>
      <c r="AC198" t="s">
        <v>154</v>
      </c>
      <c r="AD198" t="s">
        <v>152</v>
      </c>
    </row>
    <row r="199" spans="1:30">
      <c r="A199" t="s">
        <v>220</v>
      </c>
      <c r="B199" s="16">
        <v>44409</v>
      </c>
      <c r="C199" s="394">
        <v>44410</v>
      </c>
      <c r="D199" t="s">
        <v>95</v>
      </c>
      <c r="E199">
        <v>4516</v>
      </c>
      <c r="F199">
        <v>298</v>
      </c>
      <c r="G199">
        <v>285</v>
      </c>
      <c r="H199">
        <v>120</v>
      </c>
      <c r="I199">
        <v>140</v>
      </c>
      <c r="J199">
        <v>3</v>
      </c>
      <c r="K199">
        <v>33</v>
      </c>
      <c r="L199">
        <v>14</v>
      </c>
      <c r="M199">
        <v>5</v>
      </c>
      <c r="N199">
        <v>11</v>
      </c>
      <c r="O199">
        <v>205</v>
      </c>
      <c r="P199">
        <v>48</v>
      </c>
      <c r="Q199">
        <v>48</v>
      </c>
      <c r="R199">
        <v>46</v>
      </c>
      <c r="S199">
        <v>481</v>
      </c>
      <c r="T199">
        <v>127</v>
      </c>
      <c r="U199">
        <v>354</v>
      </c>
      <c r="V199">
        <v>20</v>
      </c>
      <c r="W199">
        <v>127</v>
      </c>
      <c r="X199">
        <v>71</v>
      </c>
      <c r="Y199">
        <v>175</v>
      </c>
      <c r="Z199">
        <v>88</v>
      </c>
      <c r="AA199">
        <v>4</v>
      </c>
      <c r="AB199" t="s">
        <v>97</v>
      </c>
      <c r="AC199" t="s">
        <v>179</v>
      </c>
      <c r="AD199" t="s">
        <v>177</v>
      </c>
    </row>
    <row r="200" spans="1:30">
      <c r="A200" t="s">
        <v>220</v>
      </c>
      <c r="B200" s="16">
        <v>44409</v>
      </c>
      <c r="C200" s="394">
        <v>44410</v>
      </c>
      <c r="D200" t="s">
        <v>83</v>
      </c>
      <c r="E200">
        <v>4054</v>
      </c>
      <c r="F200">
        <v>362</v>
      </c>
      <c r="G200">
        <v>345</v>
      </c>
      <c r="H200">
        <v>52</v>
      </c>
      <c r="I200">
        <v>152</v>
      </c>
      <c r="J200">
        <v>12</v>
      </c>
      <c r="K200">
        <v>36</v>
      </c>
      <c r="L200">
        <v>11</v>
      </c>
      <c r="M200">
        <v>0</v>
      </c>
      <c r="N200">
        <v>0</v>
      </c>
      <c r="O200">
        <v>205</v>
      </c>
      <c r="P200">
        <v>112</v>
      </c>
      <c r="Q200">
        <v>98</v>
      </c>
      <c r="R200">
        <v>93</v>
      </c>
      <c r="S200">
        <v>660</v>
      </c>
      <c r="T200">
        <v>199</v>
      </c>
      <c r="U200">
        <v>461</v>
      </c>
      <c r="V200">
        <v>29</v>
      </c>
      <c r="W200">
        <v>129</v>
      </c>
      <c r="X200">
        <v>59</v>
      </c>
      <c r="Y200">
        <v>215</v>
      </c>
      <c r="Z200">
        <v>126</v>
      </c>
      <c r="AA200">
        <v>23</v>
      </c>
      <c r="AB200" t="s">
        <v>84</v>
      </c>
      <c r="AC200" t="s">
        <v>166</v>
      </c>
      <c r="AD200" t="s">
        <v>164</v>
      </c>
    </row>
    <row r="201" spans="1:30">
      <c r="A201" t="s">
        <v>220</v>
      </c>
      <c r="B201" s="16">
        <v>44409</v>
      </c>
      <c r="C201" s="394">
        <v>44410</v>
      </c>
      <c r="D201" t="s">
        <v>92</v>
      </c>
      <c r="E201">
        <v>11427</v>
      </c>
      <c r="F201">
        <v>659</v>
      </c>
      <c r="G201">
        <v>622</v>
      </c>
      <c r="H201">
        <v>461</v>
      </c>
      <c r="I201">
        <v>312</v>
      </c>
      <c r="J201">
        <v>38</v>
      </c>
      <c r="K201">
        <v>89</v>
      </c>
      <c r="L201">
        <v>61</v>
      </c>
      <c r="M201">
        <v>38</v>
      </c>
      <c r="N201">
        <v>43</v>
      </c>
      <c r="O201">
        <v>647</v>
      </c>
      <c r="P201">
        <v>423</v>
      </c>
      <c r="Q201">
        <v>390</v>
      </c>
      <c r="R201">
        <v>383</v>
      </c>
      <c r="S201">
        <v>1251</v>
      </c>
      <c r="T201">
        <v>653</v>
      </c>
      <c r="U201">
        <v>598</v>
      </c>
      <c r="V201">
        <v>158</v>
      </c>
      <c r="W201">
        <v>306</v>
      </c>
      <c r="X201">
        <v>149</v>
      </c>
      <c r="Y201">
        <v>440</v>
      </c>
      <c r="Z201">
        <v>194</v>
      </c>
      <c r="AA201">
        <v>8</v>
      </c>
      <c r="AB201" t="s">
        <v>97</v>
      </c>
      <c r="AC201" t="s">
        <v>179</v>
      </c>
      <c r="AD201" t="s">
        <v>174</v>
      </c>
    </row>
    <row r="202" spans="1:30">
      <c r="A202" t="s">
        <v>220</v>
      </c>
      <c r="B202" s="16">
        <v>44409</v>
      </c>
      <c r="C202" s="394">
        <v>44410</v>
      </c>
      <c r="D202" t="s">
        <v>72</v>
      </c>
      <c r="E202">
        <v>5885</v>
      </c>
      <c r="F202">
        <v>343</v>
      </c>
      <c r="G202">
        <v>315</v>
      </c>
      <c r="H202">
        <v>272</v>
      </c>
      <c r="I202">
        <v>99</v>
      </c>
      <c r="J202">
        <v>22</v>
      </c>
      <c r="K202">
        <v>65</v>
      </c>
      <c r="L202">
        <v>47</v>
      </c>
      <c r="M202">
        <v>39</v>
      </c>
      <c r="N202">
        <v>4</v>
      </c>
      <c r="O202">
        <v>372</v>
      </c>
      <c r="P202">
        <v>269</v>
      </c>
      <c r="Q202">
        <v>255</v>
      </c>
      <c r="R202">
        <v>235</v>
      </c>
      <c r="S202">
        <v>813</v>
      </c>
      <c r="T202">
        <v>571</v>
      </c>
      <c r="U202">
        <v>242</v>
      </c>
      <c r="V202">
        <v>69</v>
      </c>
      <c r="W202">
        <v>238</v>
      </c>
      <c r="X202">
        <v>109</v>
      </c>
      <c r="Y202">
        <v>373</v>
      </c>
      <c r="Z202">
        <v>184</v>
      </c>
      <c r="AA202">
        <v>8</v>
      </c>
      <c r="AB202" t="s">
        <v>74</v>
      </c>
      <c r="AC202" t="s">
        <v>154</v>
      </c>
      <c r="AD202" t="s">
        <v>153</v>
      </c>
    </row>
    <row r="203" spans="1:30">
      <c r="A203" t="s">
        <v>220</v>
      </c>
      <c r="B203" s="16">
        <v>44409</v>
      </c>
      <c r="C203" s="394">
        <v>44410</v>
      </c>
      <c r="D203" t="s">
        <v>85</v>
      </c>
      <c r="E203">
        <v>5257</v>
      </c>
      <c r="F203">
        <v>308</v>
      </c>
      <c r="G203">
        <v>292</v>
      </c>
      <c r="H203">
        <v>216</v>
      </c>
      <c r="I203">
        <v>239</v>
      </c>
      <c r="J203">
        <v>73</v>
      </c>
      <c r="K203">
        <v>29</v>
      </c>
      <c r="L203">
        <v>23</v>
      </c>
      <c r="M203">
        <v>19</v>
      </c>
      <c r="N203">
        <v>22</v>
      </c>
      <c r="O203">
        <v>264</v>
      </c>
      <c r="P203">
        <v>187</v>
      </c>
      <c r="Q203">
        <v>185</v>
      </c>
      <c r="R203">
        <v>179</v>
      </c>
      <c r="S203">
        <v>599</v>
      </c>
      <c r="T203">
        <v>278</v>
      </c>
      <c r="U203">
        <v>321</v>
      </c>
      <c r="V203">
        <v>38</v>
      </c>
      <c r="W203">
        <v>150</v>
      </c>
      <c r="X203">
        <v>61</v>
      </c>
      <c r="Y203">
        <v>271</v>
      </c>
      <c r="Z203">
        <v>125</v>
      </c>
      <c r="AA203">
        <v>11</v>
      </c>
      <c r="AB203" t="s">
        <v>91</v>
      </c>
      <c r="AC203" t="s">
        <v>173</v>
      </c>
      <c r="AD203" t="s">
        <v>167</v>
      </c>
    </row>
    <row r="204" spans="1:30">
      <c r="A204" t="s">
        <v>220</v>
      </c>
      <c r="B204" s="16">
        <v>44409</v>
      </c>
      <c r="C204" s="394">
        <v>44410</v>
      </c>
      <c r="D204" t="s">
        <v>88</v>
      </c>
      <c r="E204">
        <v>4669</v>
      </c>
      <c r="F204">
        <v>424</v>
      </c>
      <c r="G204">
        <v>404</v>
      </c>
      <c r="H204">
        <v>278</v>
      </c>
      <c r="I204">
        <v>301</v>
      </c>
      <c r="J204">
        <v>43</v>
      </c>
      <c r="K204">
        <v>57</v>
      </c>
      <c r="L204">
        <v>35</v>
      </c>
      <c r="M204">
        <v>30</v>
      </c>
      <c r="N204">
        <v>28</v>
      </c>
      <c r="O204">
        <v>249</v>
      </c>
      <c r="P204">
        <v>147</v>
      </c>
      <c r="Q204">
        <v>146</v>
      </c>
      <c r="R204">
        <v>141</v>
      </c>
      <c r="S204">
        <v>693</v>
      </c>
      <c r="T204">
        <v>325</v>
      </c>
      <c r="U204">
        <v>368</v>
      </c>
      <c r="V204">
        <v>147</v>
      </c>
      <c r="W204">
        <v>203</v>
      </c>
      <c r="X204">
        <v>88</v>
      </c>
      <c r="Y204">
        <v>288</v>
      </c>
      <c r="Z204">
        <v>153</v>
      </c>
      <c r="AA204">
        <v>1</v>
      </c>
      <c r="AB204" t="s">
        <v>91</v>
      </c>
      <c r="AC204" t="s">
        <v>173</v>
      </c>
      <c r="AD204" t="s">
        <v>170</v>
      </c>
    </row>
    <row r="205" spans="1:30">
      <c r="A205" t="s">
        <v>220</v>
      </c>
      <c r="B205" s="16">
        <v>44409</v>
      </c>
      <c r="C205" s="394">
        <v>44410</v>
      </c>
      <c r="D205" t="s">
        <v>64</v>
      </c>
      <c r="E205">
        <v>5236</v>
      </c>
      <c r="F205">
        <v>291</v>
      </c>
      <c r="G205">
        <v>277</v>
      </c>
      <c r="H205">
        <v>169</v>
      </c>
      <c r="I205">
        <v>198</v>
      </c>
      <c r="J205">
        <v>27</v>
      </c>
      <c r="K205">
        <v>24</v>
      </c>
      <c r="L205">
        <v>18</v>
      </c>
      <c r="M205">
        <v>6</v>
      </c>
      <c r="N205">
        <v>5</v>
      </c>
      <c r="O205">
        <v>183</v>
      </c>
      <c r="P205">
        <v>105</v>
      </c>
      <c r="Q205">
        <v>93</v>
      </c>
      <c r="R205">
        <v>89</v>
      </c>
      <c r="S205">
        <v>534</v>
      </c>
      <c r="T205">
        <v>307</v>
      </c>
      <c r="U205">
        <v>227</v>
      </c>
      <c r="V205">
        <v>59</v>
      </c>
      <c r="W205">
        <v>112</v>
      </c>
      <c r="X205">
        <v>46</v>
      </c>
      <c r="Y205">
        <v>172</v>
      </c>
      <c r="Z205">
        <v>94</v>
      </c>
      <c r="AA205">
        <v>14</v>
      </c>
      <c r="AB205" t="s">
        <v>67</v>
      </c>
      <c r="AC205" t="s">
        <v>148</v>
      </c>
      <c r="AD205" t="s">
        <v>144</v>
      </c>
    </row>
    <row r="206" spans="1:30">
      <c r="A206" t="s">
        <v>220</v>
      </c>
      <c r="B206" s="16">
        <v>44409</v>
      </c>
      <c r="C206" s="394">
        <v>44410</v>
      </c>
      <c r="D206" t="s">
        <v>70</v>
      </c>
      <c r="E206">
        <v>10674</v>
      </c>
      <c r="F206">
        <v>810</v>
      </c>
      <c r="G206">
        <v>763</v>
      </c>
      <c r="H206">
        <v>385</v>
      </c>
      <c r="I206">
        <v>250</v>
      </c>
      <c r="J206">
        <v>17</v>
      </c>
      <c r="K206">
        <v>229</v>
      </c>
      <c r="L206">
        <v>178</v>
      </c>
      <c r="M206">
        <v>70</v>
      </c>
      <c r="N206">
        <v>152</v>
      </c>
      <c r="O206">
        <v>710</v>
      </c>
      <c r="P206">
        <v>360</v>
      </c>
      <c r="Q206">
        <v>343</v>
      </c>
      <c r="R206">
        <v>343</v>
      </c>
      <c r="S206">
        <v>1834</v>
      </c>
      <c r="T206">
        <v>849</v>
      </c>
      <c r="U206">
        <v>985</v>
      </c>
      <c r="V206">
        <v>212</v>
      </c>
      <c r="W206">
        <v>596</v>
      </c>
      <c r="X206">
        <v>258</v>
      </c>
      <c r="Y206">
        <v>825</v>
      </c>
      <c r="Z206">
        <v>392</v>
      </c>
      <c r="AA206">
        <v>72</v>
      </c>
      <c r="AB206" t="s">
        <v>74</v>
      </c>
      <c r="AC206" t="s">
        <v>154</v>
      </c>
      <c r="AD206" t="s">
        <v>151</v>
      </c>
    </row>
    <row r="207" spans="1:30">
      <c r="A207" t="s">
        <v>220</v>
      </c>
      <c r="B207" s="16">
        <v>44409</v>
      </c>
      <c r="C207" s="394">
        <v>44410</v>
      </c>
      <c r="D207" t="s">
        <v>57</v>
      </c>
      <c r="E207">
        <v>4099</v>
      </c>
      <c r="F207">
        <v>374</v>
      </c>
      <c r="G207">
        <v>361</v>
      </c>
      <c r="H207">
        <v>282</v>
      </c>
      <c r="I207">
        <v>265</v>
      </c>
      <c r="J207">
        <v>44</v>
      </c>
      <c r="K207">
        <v>63</v>
      </c>
      <c r="L207">
        <v>55</v>
      </c>
      <c r="M207">
        <v>11</v>
      </c>
      <c r="N207">
        <v>2</v>
      </c>
      <c r="O207">
        <v>211</v>
      </c>
      <c r="P207">
        <v>151</v>
      </c>
      <c r="Q207">
        <v>5</v>
      </c>
      <c r="R207">
        <v>140</v>
      </c>
      <c r="S207">
        <v>784</v>
      </c>
      <c r="T207">
        <v>259</v>
      </c>
      <c r="U207">
        <v>525</v>
      </c>
      <c r="V207">
        <v>370</v>
      </c>
      <c r="W207">
        <v>198</v>
      </c>
      <c r="X207">
        <v>92</v>
      </c>
      <c r="Y207">
        <v>263</v>
      </c>
      <c r="Z207">
        <v>103</v>
      </c>
      <c r="AA207">
        <v>33</v>
      </c>
      <c r="AB207" t="s">
        <v>67</v>
      </c>
      <c r="AC207" t="s">
        <v>148</v>
      </c>
      <c r="AD207" t="s">
        <v>48</v>
      </c>
    </row>
    <row r="208" spans="1:30">
      <c r="A208" t="s">
        <v>220</v>
      </c>
      <c r="B208" s="16">
        <v>44409</v>
      </c>
      <c r="C208" s="394">
        <v>44410</v>
      </c>
      <c r="D208" t="s">
        <v>96</v>
      </c>
      <c r="E208">
        <v>7454</v>
      </c>
      <c r="F208">
        <v>523</v>
      </c>
      <c r="G208">
        <v>501</v>
      </c>
      <c r="H208">
        <v>199</v>
      </c>
      <c r="I208">
        <v>334</v>
      </c>
      <c r="J208">
        <v>26</v>
      </c>
      <c r="K208">
        <v>95</v>
      </c>
      <c r="L208">
        <v>61</v>
      </c>
      <c r="M208">
        <v>49</v>
      </c>
      <c r="N208">
        <v>57</v>
      </c>
      <c r="O208">
        <v>361</v>
      </c>
      <c r="P208">
        <v>174</v>
      </c>
      <c r="Q208">
        <v>149</v>
      </c>
      <c r="R208">
        <v>141</v>
      </c>
      <c r="S208">
        <v>1118</v>
      </c>
      <c r="T208">
        <v>446</v>
      </c>
      <c r="U208">
        <v>672</v>
      </c>
      <c r="V208">
        <v>93</v>
      </c>
      <c r="W208">
        <v>258</v>
      </c>
      <c r="X208">
        <v>116</v>
      </c>
      <c r="Y208">
        <v>397</v>
      </c>
      <c r="Z208">
        <v>179</v>
      </c>
      <c r="AA208">
        <v>14</v>
      </c>
      <c r="AB208" t="s">
        <v>97</v>
      </c>
      <c r="AC208" t="s">
        <v>179</v>
      </c>
      <c r="AD208" t="s">
        <v>178</v>
      </c>
    </row>
    <row r="209" spans="1:30">
      <c r="A209" t="s">
        <v>220</v>
      </c>
      <c r="B209" s="16">
        <v>44409</v>
      </c>
      <c r="C209" s="394">
        <v>44410</v>
      </c>
      <c r="D209" t="s">
        <v>82</v>
      </c>
      <c r="E209">
        <v>6360</v>
      </c>
      <c r="F209">
        <v>500</v>
      </c>
      <c r="G209">
        <v>469</v>
      </c>
      <c r="H209">
        <v>263</v>
      </c>
      <c r="I209">
        <v>392</v>
      </c>
      <c r="J209">
        <v>49</v>
      </c>
      <c r="K209">
        <v>60</v>
      </c>
      <c r="L209">
        <v>44</v>
      </c>
      <c r="M209">
        <v>39</v>
      </c>
      <c r="N209">
        <v>42</v>
      </c>
      <c r="O209">
        <v>342</v>
      </c>
      <c r="P209">
        <v>258</v>
      </c>
      <c r="Q209">
        <v>257</v>
      </c>
      <c r="R209">
        <v>248</v>
      </c>
      <c r="S209">
        <v>696</v>
      </c>
      <c r="T209">
        <v>295</v>
      </c>
      <c r="U209">
        <v>401</v>
      </c>
      <c r="V209">
        <v>79</v>
      </c>
      <c r="W209">
        <v>192</v>
      </c>
      <c r="X209">
        <v>91</v>
      </c>
      <c r="Y209">
        <v>322</v>
      </c>
      <c r="Z209">
        <v>149</v>
      </c>
      <c r="AA209">
        <v>27</v>
      </c>
      <c r="AB209" t="s">
        <v>84</v>
      </c>
      <c r="AC209" t="s">
        <v>166</v>
      </c>
      <c r="AD209" t="s">
        <v>163</v>
      </c>
    </row>
    <row r="210" spans="1:30">
      <c r="A210" t="s">
        <v>220</v>
      </c>
      <c r="B210" s="16">
        <v>44409</v>
      </c>
      <c r="C210" s="394">
        <v>44410</v>
      </c>
      <c r="D210" t="s">
        <v>54</v>
      </c>
      <c r="E210">
        <v>6506</v>
      </c>
      <c r="F210">
        <v>415</v>
      </c>
      <c r="G210">
        <v>378</v>
      </c>
      <c r="H210">
        <v>195</v>
      </c>
      <c r="I210">
        <v>275</v>
      </c>
      <c r="J210">
        <v>25</v>
      </c>
      <c r="K210">
        <v>101</v>
      </c>
      <c r="L210">
        <v>75</v>
      </c>
      <c r="M210">
        <v>47</v>
      </c>
      <c r="N210">
        <v>55</v>
      </c>
      <c r="O210">
        <v>331</v>
      </c>
      <c r="P210">
        <v>252</v>
      </c>
      <c r="Q210">
        <v>243</v>
      </c>
      <c r="R210">
        <v>237</v>
      </c>
      <c r="S210">
        <v>875</v>
      </c>
      <c r="T210">
        <v>449</v>
      </c>
      <c r="U210">
        <v>426</v>
      </c>
      <c r="V210">
        <v>20</v>
      </c>
      <c r="W210">
        <v>265</v>
      </c>
      <c r="X210">
        <v>91</v>
      </c>
      <c r="Y210">
        <v>398</v>
      </c>
      <c r="Z210">
        <v>206</v>
      </c>
      <c r="AA210">
        <v>37</v>
      </c>
      <c r="AB210" t="s">
        <v>67</v>
      </c>
      <c r="AC210" t="s">
        <v>148</v>
      </c>
      <c r="AD210" t="s">
        <v>142</v>
      </c>
    </row>
    <row r="211" spans="1:30">
      <c r="A211" t="s">
        <v>220</v>
      </c>
      <c r="B211" s="16">
        <v>44409</v>
      </c>
      <c r="C211" s="394">
        <v>44410</v>
      </c>
      <c r="D211" t="s">
        <v>89</v>
      </c>
      <c r="E211">
        <v>11723</v>
      </c>
      <c r="F211">
        <v>864</v>
      </c>
      <c r="G211">
        <v>826</v>
      </c>
      <c r="H211">
        <v>567</v>
      </c>
      <c r="I211">
        <v>468</v>
      </c>
      <c r="J211">
        <v>63</v>
      </c>
      <c r="K211">
        <v>119</v>
      </c>
      <c r="L211">
        <v>97</v>
      </c>
      <c r="M211">
        <v>83</v>
      </c>
      <c r="N211">
        <v>89</v>
      </c>
      <c r="O211">
        <v>561</v>
      </c>
      <c r="P211">
        <v>415</v>
      </c>
      <c r="Q211">
        <v>395</v>
      </c>
      <c r="R211">
        <v>378</v>
      </c>
      <c r="S211">
        <v>1784</v>
      </c>
      <c r="T211">
        <v>943</v>
      </c>
      <c r="U211">
        <v>841</v>
      </c>
      <c r="V211">
        <v>302</v>
      </c>
      <c r="W211">
        <v>316</v>
      </c>
      <c r="X211">
        <v>168</v>
      </c>
      <c r="Y211">
        <v>408</v>
      </c>
      <c r="Z211">
        <v>223</v>
      </c>
      <c r="AA211">
        <v>20</v>
      </c>
      <c r="AB211" t="s">
        <v>91</v>
      </c>
      <c r="AC211" t="s">
        <v>173</v>
      </c>
      <c r="AD211" t="s">
        <v>171</v>
      </c>
    </row>
    <row r="212" spans="1:30">
      <c r="A212" t="s">
        <v>220</v>
      </c>
      <c r="B212" s="16">
        <v>44409</v>
      </c>
      <c r="C212" s="394">
        <v>44410</v>
      </c>
      <c r="D212" t="s">
        <v>101</v>
      </c>
      <c r="E212">
        <v>4469</v>
      </c>
      <c r="F212">
        <v>233</v>
      </c>
      <c r="G212">
        <v>219</v>
      </c>
      <c r="H212">
        <v>209</v>
      </c>
      <c r="I212">
        <v>140</v>
      </c>
      <c r="J212">
        <v>47</v>
      </c>
      <c r="K212">
        <v>30</v>
      </c>
      <c r="L212">
        <v>19</v>
      </c>
      <c r="M212">
        <v>18</v>
      </c>
      <c r="N212">
        <v>16</v>
      </c>
      <c r="O212">
        <v>195</v>
      </c>
      <c r="P212">
        <v>172</v>
      </c>
      <c r="Q212">
        <v>168</v>
      </c>
      <c r="R212">
        <v>163</v>
      </c>
      <c r="S212">
        <v>465</v>
      </c>
      <c r="T212">
        <v>277</v>
      </c>
      <c r="U212">
        <v>188</v>
      </c>
      <c r="V212">
        <v>36</v>
      </c>
      <c r="W212">
        <v>82</v>
      </c>
      <c r="X212">
        <v>46</v>
      </c>
      <c r="Y212">
        <v>129</v>
      </c>
      <c r="Z212">
        <v>65</v>
      </c>
      <c r="AA212">
        <v>11</v>
      </c>
      <c r="AB212" t="s">
        <v>103</v>
      </c>
      <c r="AC212" t="s">
        <v>185</v>
      </c>
      <c r="AD212" t="s">
        <v>183</v>
      </c>
    </row>
    <row r="213" spans="1:30">
      <c r="A213" t="s">
        <v>220</v>
      </c>
      <c r="B213" s="16">
        <v>44409</v>
      </c>
      <c r="C213" s="394">
        <v>44410</v>
      </c>
      <c r="D213" t="s">
        <v>66</v>
      </c>
      <c r="E213">
        <v>3240</v>
      </c>
      <c r="F213">
        <v>122</v>
      </c>
      <c r="G213">
        <v>110</v>
      </c>
      <c r="H213">
        <v>83</v>
      </c>
      <c r="I213">
        <v>63</v>
      </c>
      <c r="J213">
        <v>16</v>
      </c>
      <c r="K213">
        <v>41</v>
      </c>
      <c r="L213">
        <v>30</v>
      </c>
      <c r="M213">
        <v>7</v>
      </c>
      <c r="N213">
        <v>1</v>
      </c>
      <c r="O213">
        <v>182</v>
      </c>
      <c r="P213">
        <v>118</v>
      </c>
      <c r="Q213">
        <v>117</v>
      </c>
      <c r="R213">
        <v>117</v>
      </c>
      <c r="S213">
        <v>293</v>
      </c>
      <c r="T213">
        <v>212</v>
      </c>
      <c r="U213">
        <v>81</v>
      </c>
      <c r="V213">
        <v>21</v>
      </c>
      <c r="W213">
        <v>74</v>
      </c>
      <c r="X213">
        <v>33</v>
      </c>
      <c r="Y213">
        <v>108</v>
      </c>
      <c r="Z213">
        <v>48</v>
      </c>
      <c r="AA213">
        <v>15</v>
      </c>
      <c r="AB213" t="s">
        <v>67</v>
      </c>
      <c r="AC213" t="s">
        <v>148</v>
      </c>
      <c r="AD213" t="s">
        <v>146</v>
      </c>
    </row>
    <row r="214" spans="1:30">
      <c r="A214" t="s">
        <v>220</v>
      </c>
      <c r="B214" s="16">
        <v>44409</v>
      </c>
      <c r="C214" s="394">
        <v>44410</v>
      </c>
      <c r="D214" t="s">
        <v>80</v>
      </c>
      <c r="E214">
        <v>5486</v>
      </c>
      <c r="F214">
        <v>363</v>
      </c>
      <c r="G214">
        <v>348</v>
      </c>
      <c r="H214">
        <v>279</v>
      </c>
      <c r="I214">
        <v>85</v>
      </c>
      <c r="J214">
        <v>4</v>
      </c>
      <c r="K214">
        <v>24</v>
      </c>
      <c r="L214">
        <v>15</v>
      </c>
      <c r="M214">
        <v>14</v>
      </c>
      <c r="N214">
        <v>15</v>
      </c>
      <c r="O214">
        <v>227</v>
      </c>
      <c r="P214">
        <v>211</v>
      </c>
      <c r="Q214">
        <v>209</v>
      </c>
      <c r="R214">
        <v>207</v>
      </c>
      <c r="S214">
        <v>612</v>
      </c>
      <c r="T214">
        <v>353</v>
      </c>
      <c r="U214">
        <v>259</v>
      </c>
      <c r="V214">
        <v>119</v>
      </c>
      <c r="W214">
        <v>137</v>
      </c>
      <c r="X214">
        <v>83</v>
      </c>
      <c r="Y214">
        <v>206</v>
      </c>
      <c r="Z214">
        <v>108</v>
      </c>
      <c r="AA214">
        <v>17</v>
      </c>
      <c r="AB214" t="s">
        <v>84</v>
      </c>
      <c r="AC214" t="s">
        <v>166</v>
      </c>
      <c r="AD214" t="s">
        <v>161</v>
      </c>
    </row>
    <row r="215" spans="1:30">
      <c r="A215" t="s">
        <v>220</v>
      </c>
      <c r="B215" s="16">
        <v>44409</v>
      </c>
      <c r="C215" s="394">
        <v>44410</v>
      </c>
      <c r="D215" t="s">
        <v>52</v>
      </c>
      <c r="E215">
        <v>3046</v>
      </c>
      <c r="F215">
        <v>220</v>
      </c>
      <c r="G215">
        <v>203</v>
      </c>
      <c r="H215">
        <v>131</v>
      </c>
      <c r="I215">
        <v>67</v>
      </c>
      <c r="J215">
        <v>8</v>
      </c>
      <c r="K215">
        <v>112</v>
      </c>
      <c r="L215">
        <v>85</v>
      </c>
      <c r="M215">
        <v>58</v>
      </c>
      <c r="N215">
        <v>11</v>
      </c>
      <c r="O215">
        <v>216</v>
      </c>
      <c r="P215">
        <v>133</v>
      </c>
      <c r="Q215">
        <v>131</v>
      </c>
      <c r="R215">
        <v>128</v>
      </c>
      <c r="S215">
        <v>754</v>
      </c>
      <c r="T215">
        <v>529</v>
      </c>
      <c r="U215">
        <v>225</v>
      </c>
      <c r="V215">
        <v>44</v>
      </c>
      <c r="W215">
        <v>216</v>
      </c>
      <c r="X215">
        <v>77</v>
      </c>
      <c r="Y215">
        <v>259</v>
      </c>
      <c r="Z215">
        <v>154</v>
      </c>
      <c r="AA215">
        <v>32</v>
      </c>
      <c r="AB215" t="s">
        <v>67</v>
      </c>
      <c r="AC215" t="s">
        <v>148</v>
      </c>
      <c r="AD215" t="s">
        <v>141</v>
      </c>
    </row>
    <row r="216" spans="1:30">
      <c r="A216" t="s">
        <v>220</v>
      </c>
      <c r="B216" s="16">
        <v>44409</v>
      </c>
      <c r="C216" s="394">
        <v>44410</v>
      </c>
      <c r="D216" t="s">
        <v>87</v>
      </c>
      <c r="E216">
        <v>2980</v>
      </c>
      <c r="F216">
        <v>253</v>
      </c>
      <c r="G216">
        <v>241</v>
      </c>
      <c r="H216">
        <v>173</v>
      </c>
      <c r="I216">
        <v>173</v>
      </c>
      <c r="J216">
        <v>26</v>
      </c>
      <c r="K216">
        <v>23</v>
      </c>
      <c r="L216">
        <v>20</v>
      </c>
      <c r="M216">
        <v>16</v>
      </c>
      <c r="N216">
        <v>17</v>
      </c>
      <c r="O216">
        <v>131</v>
      </c>
      <c r="P216">
        <v>88</v>
      </c>
      <c r="Q216">
        <v>87</v>
      </c>
      <c r="R216">
        <v>84</v>
      </c>
      <c r="S216">
        <v>452</v>
      </c>
      <c r="T216">
        <v>263</v>
      </c>
      <c r="U216">
        <v>189</v>
      </c>
      <c r="V216">
        <v>58</v>
      </c>
      <c r="W216">
        <v>87</v>
      </c>
      <c r="X216">
        <v>44</v>
      </c>
      <c r="Y216">
        <v>122</v>
      </c>
      <c r="Z216">
        <v>80</v>
      </c>
      <c r="AA216">
        <v>7</v>
      </c>
      <c r="AB216" t="s">
        <v>91</v>
      </c>
      <c r="AC216" t="s">
        <v>173</v>
      </c>
      <c r="AD216" t="s">
        <v>169</v>
      </c>
    </row>
    <row r="217" spans="1:30">
      <c r="A217" t="s">
        <v>220</v>
      </c>
      <c r="B217" s="16">
        <v>44409</v>
      </c>
      <c r="C217" s="394">
        <v>44410</v>
      </c>
      <c r="D217" t="s">
        <v>90</v>
      </c>
      <c r="E217">
        <v>2923</v>
      </c>
      <c r="F217">
        <v>216</v>
      </c>
      <c r="G217">
        <v>208</v>
      </c>
      <c r="H217">
        <v>162</v>
      </c>
      <c r="I217">
        <v>137</v>
      </c>
      <c r="J217">
        <v>19</v>
      </c>
      <c r="K217">
        <v>27</v>
      </c>
      <c r="L217">
        <v>18</v>
      </c>
      <c r="M217">
        <v>7</v>
      </c>
      <c r="N217">
        <v>4</v>
      </c>
      <c r="O217">
        <v>99</v>
      </c>
      <c r="P217">
        <v>81</v>
      </c>
      <c r="Q217">
        <v>81</v>
      </c>
      <c r="R217">
        <v>77</v>
      </c>
      <c r="S217">
        <v>340</v>
      </c>
      <c r="T217">
        <v>170</v>
      </c>
      <c r="U217">
        <v>170</v>
      </c>
      <c r="V217">
        <v>46</v>
      </c>
      <c r="W217">
        <v>86</v>
      </c>
      <c r="X217">
        <v>42</v>
      </c>
      <c r="Y217">
        <v>123</v>
      </c>
      <c r="Z217">
        <v>44</v>
      </c>
      <c r="AA217">
        <v>6</v>
      </c>
      <c r="AB217" t="s">
        <v>91</v>
      </c>
      <c r="AC217" t="s">
        <v>173</v>
      </c>
      <c r="AD217" t="s">
        <v>172</v>
      </c>
    </row>
    <row r="218" spans="1:30">
      <c r="A218" t="s">
        <v>220</v>
      </c>
      <c r="B218" s="16">
        <v>44409</v>
      </c>
      <c r="C218" s="394">
        <v>44410</v>
      </c>
      <c r="D218" t="s">
        <v>93</v>
      </c>
      <c r="E218">
        <v>2178</v>
      </c>
      <c r="F218">
        <v>205</v>
      </c>
      <c r="G218">
        <v>196</v>
      </c>
      <c r="H218">
        <v>139</v>
      </c>
      <c r="I218">
        <v>67</v>
      </c>
      <c r="J218">
        <v>6</v>
      </c>
      <c r="K218">
        <v>16</v>
      </c>
      <c r="L218">
        <v>8</v>
      </c>
      <c r="M218">
        <v>7</v>
      </c>
      <c r="N218">
        <v>8</v>
      </c>
      <c r="O218">
        <v>149</v>
      </c>
      <c r="P218">
        <v>88</v>
      </c>
      <c r="Q218">
        <v>82</v>
      </c>
      <c r="R218">
        <v>60</v>
      </c>
      <c r="S218">
        <v>368</v>
      </c>
      <c r="T218">
        <v>151</v>
      </c>
      <c r="U218">
        <v>217</v>
      </c>
      <c r="V218">
        <v>40</v>
      </c>
      <c r="W218">
        <v>86</v>
      </c>
      <c r="X218">
        <v>41</v>
      </c>
      <c r="Y218">
        <v>127</v>
      </c>
      <c r="Z218">
        <v>52</v>
      </c>
      <c r="AA218">
        <v>17</v>
      </c>
      <c r="AB218" t="s">
        <v>97</v>
      </c>
      <c r="AC218" t="s">
        <v>179</v>
      </c>
      <c r="AD218" t="s">
        <v>175</v>
      </c>
    </row>
    <row r="219" spans="1:30">
      <c r="A219" t="s">
        <v>220</v>
      </c>
      <c r="B219" s="16">
        <v>44409</v>
      </c>
      <c r="C219" s="394">
        <v>44410</v>
      </c>
      <c r="D219" t="s">
        <v>81</v>
      </c>
      <c r="E219">
        <v>2736</v>
      </c>
      <c r="F219">
        <v>204</v>
      </c>
      <c r="G219">
        <v>192</v>
      </c>
      <c r="H219">
        <v>59</v>
      </c>
      <c r="I219">
        <v>162</v>
      </c>
      <c r="J219">
        <v>23</v>
      </c>
      <c r="K219">
        <v>13</v>
      </c>
      <c r="L219">
        <v>9</v>
      </c>
      <c r="M219">
        <v>7</v>
      </c>
      <c r="N219">
        <v>9</v>
      </c>
      <c r="O219">
        <v>98</v>
      </c>
      <c r="P219">
        <v>73</v>
      </c>
      <c r="Q219">
        <v>68</v>
      </c>
      <c r="R219">
        <v>69</v>
      </c>
      <c r="S219">
        <v>338</v>
      </c>
      <c r="T219">
        <v>157</v>
      </c>
      <c r="U219">
        <v>181</v>
      </c>
      <c r="V219">
        <v>62</v>
      </c>
      <c r="W219">
        <v>64</v>
      </c>
      <c r="X219">
        <v>29</v>
      </c>
      <c r="Y219">
        <v>137</v>
      </c>
      <c r="Z219">
        <v>63</v>
      </c>
      <c r="AA219">
        <v>7</v>
      </c>
      <c r="AB219" t="s">
        <v>84</v>
      </c>
      <c r="AC219" t="s">
        <v>166</v>
      </c>
      <c r="AD219" t="s">
        <v>162</v>
      </c>
    </row>
    <row r="220" spans="1:30">
      <c r="A220" t="s">
        <v>220</v>
      </c>
      <c r="B220" s="16">
        <v>44409</v>
      </c>
      <c r="C220" s="394">
        <v>44410</v>
      </c>
      <c r="D220" t="s">
        <v>69</v>
      </c>
      <c r="E220">
        <v>7005</v>
      </c>
      <c r="F220">
        <v>477</v>
      </c>
      <c r="G220">
        <v>449</v>
      </c>
      <c r="H220">
        <v>338</v>
      </c>
      <c r="I220">
        <v>180</v>
      </c>
      <c r="J220">
        <v>23</v>
      </c>
      <c r="K220">
        <v>112</v>
      </c>
      <c r="L220">
        <v>66</v>
      </c>
      <c r="M220">
        <v>26</v>
      </c>
      <c r="N220">
        <v>37</v>
      </c>
      <c r="O220">
        <v>456</v>
      </c>
      <c r="P220">
        <v>289</v>
      </c>
      <c r="Q220">
        <v>261</v>
      </c>
      <c r="R220">
        <v>208</v>
      </c>
      <c r="S220">
        <v>1231</v>
      </c>
      <c r="T220">
        <v>621</v>
      </c>
      <c r="U220">
        <v>610</v>
      </c>
      <c r="V220">
        <v>123</v>
      </c>
      <c r="W220">
        <v>309</v>
      </c>
      <c r="X220">
        <v>150</v>
      </c>
      <c r="Y220">
        <v>500</v>
      </c>
      <c r="Z220">
        <v>213</v>
      </c>
      <c r="AA220">
        <v>11</v>
      </c>
      <c r="AB220" t="s">
        <v>74</v>
      </c>
      <c r="AC220" t="s">
        <v>154</v>
      </c>
      <c r="AD220" t="s">
        <v>150</v>
      </c>
    </row>
    <row r="221" spans="1:30">
      <c r="A221" t="s">
        <v>220</v>
      </c>
      <c r="B221" s="16">
        <v>44409</v>
      </c>
      <c r="C221" s="394">
        <v>44410</v>
      </c>
      <c r="D221" t="s">
        <v>65</v>
      </c>
      <c r="E221">
        <v>4932</v>
      </c>
      <c r="F221">
        <v>410</v>
      </c>
      <c r="G221">
        <v>385</v>
      </c>
      <c r="H221">
        <v>142</v>
      </c>
      <c r="I221">
        <v>272</v>
      </c>
      <c r="J221">
        <v>23</v>
      </c>
      <c r="K221">
        <v>80</v>
      </c>
      <c r="L221">
        <v>28</v>
      </c>
      <c r="M221">
        <v>11</v>
      </c>
      <c r="N221">
        <v>9</v>
      </c>
      <c r="O221">
        <v>315</v>
      </c>
      <c r="P221">
        <v>106</v>
      </c>
      <c r="Q221">
        <v>106</v>
      </c>
      <c r="R221">
        <v>105</v>
      </c>
      <c r="S221">
        <v>713</v>
      </c>
      <c r="T221">
        <v>279</v>
      </c>
      <c r="U221">
        <v>434</v>
      </c>
      <c r="V221">
        <v>50</v>
      </c>
      <c r="W221">
        <v>166</v>
      </c>
      <c r="X221">
        <v>85</v>
      </c>
      <c r="Y221">
        <v>279</v>
      </c>
      <c r="Z221">
        <v>103</v>
      </c>
      <c r="AA221">
        <v>28</v>
      </c>
      <c r="AB221" t="s">
        <v>67</v>
      </c>
      <c r="AC221" t="s">
        <v>148</v>
      </c>
      <c r="AD221" t="s">
        <v>145</v>
      </c>
    </row>
    <row r="222" spans="1:30">
      <c r="A222" t="s">
        <v>220</v>
      </c>
      <c r="B222" s="16">
        <v>44440</v>
      </c>
      <c r="C222" s="394">
        <v>44441</v>
      </c>
      <c r="D222" t="s">
        <v>94</v>
      </c>
      <c r="E222">
        <v>6171</v>
      </c>
      <c r="F222">
        <v>532</v>
      </c>
      <c r="G222">
        <v>500</v>
      </c>
      <c r="H222">
        <v>309</v>
      </c>
      <c r="I222">
        <v>321</v>
      </c>
      <c r="J222">
        <v>41</v>
      </c>
      <c r="K222">
        <v>82</v>
      </c>
      <c r="L222">
        <v>55</v>
      </c>
      <c r="M222">
        <v>37</v>
      </c>
      <c r="N222">
        <v>39</v>
      </c>
      <c r="O222">
        <v>318</v>
      </c>
      <c r="P222">
        <v>176</v>
      </c>
      <c r="Q222">
        <v>166</v>
      </c>
      <c r="R222">
        <v>171</v>
      </c>
      <c r="S222">
        <v>890</v>
      </c>
      <c r="T222">
        <v>371</v>
      </c>
      <c r="U222">
        <v>519</v>
      </c>
      <c r="V222">
        <v>89</v>
      </c>
      <c r="W222">
        <v>230</v>
      </c>
      <c r="X222">
        <v>104</v>
      </c>
      <c r="Y222">
        <v>325</v>
      </c>
      <c r="Z222">
        <v>134</v>
      </c>
      <c r="AA222">
        <v>14</v>
      </c>
      <c r="AB222" t="s">
        <v>97</v>
      </c>
      <c r="AC222" t="s">
        <v>179</v>
      </c>
      <c r="AD222" t="s">
        <v>176</v>
      </c>
    </row>
    <row r="223" spans="1:30">
      <c r="A223" t="s">
        <v>220</v>
      </c>
      <c r="B223" s="16">
        <v>44440</v>
      </c>
      <c r="C223" s="394">
        <v>44441</v>
      </c>
      <c r="D223" t="s">
        <v>56</v>
      </c>
      <c r="E223">
        <v>12492</v>
      </c>
      <c r="F223">
        <v>676</v>
      </c>
      <c r="G223">
        <v>632</v>
      </c>
      <c r="H223">
        <v>333</v>
      </c>
      <c r="I223">
        <v>376</v>
      </c>
      <c r="J223">
        <v>35</v>
      </c>
      <c r="K223">
        <v>159</v>
      </c>
      <c r="L223">
        <v>132</v>
      </c>
      <c r="M223">
        <v>78</v>
      </c>
      <c r="N223">
        <v>67</v>
      </c>
      <c r="O223">
        <v>751</v>
      </c>
      <c r="P223">
        <v>472</v>
      </c>
      <c r="Q223">
        <v>458</v>
      </c>
      <c r="R223">
        <v>457</v>
      </c>
      <c r="S223">
        <v>1956</v>
      </c>
      <c r="T223">
        <v>465</v>
      </c>
      <c r="U223">
        <v>1491</v>
      </c>
      <c r="V223">
        <v>770</v>
      </c>
      <c r="W223">
        <v>546</v>
      </c>
      <c r="X223">
        <v>277</v>
      </c>
      <c r="Y223">
        <v>794</v>
      </c>
      <c r="Z223">
        <v>409</v>
      </c>
      <c r="AB223" t="s">
        <v>74</v>
      </c>
      <c r="AC223" t="s">
        <v>154</v>
      </c>
      <c r="AD223" t="s">
        <v>50</v>
      </c>
    </row>
    <row r="224" spans="1:30">
      <c r="A224" t="s">
        <v>220</v>
      </c>
      <c r="B224" s="16">
        <v>44440</v>
      </c>
      <c r="C224" s="394">
        <v>44441</v>
      </c>
      <c r="D224" t="s">
        <v>61</v>
      </c>
      <c r="E224">
        <v>7201</v>
      </c>
      <c r="F224">
        <v>354</v>
      </c>
      <c r="G224">
        <v>325</v>
      </c>
      <c r="H224">
        <v>215</v>
      </c>
      <c r="I224">
        <v>230</v>
      </c>
      <c r="J224">
        <v>39</v>
      </c>
      <c r="K224">
        <v>106</v>
      </c>
      <c r="L224">
        <v>88</v>
      </c>
      <c r="M224">
        <v>16</v>
      </c>
      <c r="N224">
        <v>63</v>
      </c>
      <c r="O224">
        <v>353</v>
      </c>
      <c r="P224">
        <v>175</v>
      </c>
      <c r="Q224">
        <v>166</v>
      </c>
      <c r="R224">
        <v>172</v>
      </c>
      <c r="S224">
        <v>800</v>
      </c>
      <c r="T224">
        <v>463</v>
      </c>
      <c r="U224">
        <v>337</v>
      </c>
      <c r="V224">
        <v>102</v>
      </c>
      <c r="W224">
        <v>154</v>
      </c>
      <c r="X224">
        <v>78</v>
      </c>
      <c r="Y224">
        <v>265</v>
      </c>
      <c r="Z224">
        <v>138</v>
      </c>
      <c r="AA224">
        <v>23</v>
      </c>
      <c r="AB224" t="s">
        <v>67</v>
      </c>
      <c r="AC224" t="s">
        <v>148</v>
      </c>
      <c r="AD224" t="s">
        <v>143</v>
      </c>
    </row>
    <row r="225" spans="1:30">
      <c r="A225" t="s">
        <v>220</v>
      </c>
      <c r="B225" s="16">
        <v>44440</v>
      </c>
      <c r="C225" s="394">
        <v>44441</v>
      </c>
      <c r="D225" t="s">
        <v>98</v>
      </c>
      <c r="E225">
        <v>5234</v>
      </c>
      <c r="F225">
        <v>422</v>
      </c>
      <c r="G225">
        <v>402</v>
      </c>
      <c r="H225">
        <v>302</v>
      </c>
      <c r="I225">
        <v>274</v>
      </c>
      <c r="J225">
        <v>35</v>
      </c>
      <c r="K225">
        <v>58</v>
      </c>
      <c r="L225">
        <v>36</v>
      </c>
      <c r="M225">
        <v>25</v>
      </c>
      <c r="N225">
        <v>28</v>
      </c>
      <c r="O225">
        <v>243</v>
      </c>
      <c r="P225">
        <v>156</v>
      </c>
      <c r="Q225">
        <v>152</v>
      </c>
      <c r="R225">
        <v>152</v>
      </c>
      <c r="S225">
        <v>798</v>
      </c>
      <c r="T225">
        <v>347</v>
      </c>
      <c r="U225">
        <v>451</v>
      </c>
      <c r="V225">
        <v>130</v>
      </c>
      <c r="W225">
        <v>169</v>
      </c>
      <c r="X225">
        <v>99</v>
      </c>
      <c r="Y225">
        <v>291</v>
      </c>
      <c r="Z225">
        <v>134</v>
      </c>
      <c r="AA225">
        <v>20</v>
      </c>
      <c r="AB225" t="s">
        <v>103</v>
      </c>
      <c r="AC225" t="s">
        <v>185</v>
      </c>
      <c r="AD225" t="s">
        <v>180</v>
      </c>
    </row>
    <row r="226" spans="1:30">
      <c r="A226" t="s">
        <v>220</v>
      </c>
      <c r="B226" s="16">
        <v>44440</v>
      </c>
      <c r="C226" s="394">
        <v>44441</v>
      </c>
      <c r="D226" t="s">
        <v>75</v>
      </c>
      <c r="E226">
        <v>7728</v>
      </c>
      <c r="F226">
        <v>737</v>
      </c>
      <c r="G226">
        <v>698</v>
      </c>
      <c r="H226">
        <v>609</v>
      </c>
      <c r="I226">
        <v>304</v>
      </c>
      <c r="J226">
        <v>55</v>
      </c>
      <c r="K226">
        <v>91</v>
      </c>
      <c r="L226">
        <v>86</v>
      </c>
      <c r="M226">
        <v>82</v>
      </c>
      <c r="N226">
        <v>77</v>
      </c>
      <c r="O226">
        <v>342</v>
      </c>
      <c r="P226">
        <v>306</v>
      </c>
      <c r="Q226">
        <v>300</v>
      </c>
      <c r="R226">
        <v>300</v>
      </c>
      <c r="S226">
        <v>1139</v>
      </c>
      <c r="T226">
        <v>603</v>
      </c>
      <c r="U226">
        <v>536</v>
      </c>
      <c r="V226">
        <v>157</v>
      </c>
      <c r="W226">
        <v>355</v>
      </c>
      <c r="X226">
        <v>211</v>
      </c>
      <c r="Y226">
        <v>511</v>
      </c>
      <c r="Z226">
        <v>229</v>
      </c>
      <c r="AA226">
        <v>65</v>
      </c>
      <c r="AB226" t="s">
        <v>77</v>
      </c>
      <c r="AC226" t="s">
        <v>158</v>
      </c>
      <c r="AD226" t="s">
        <v>155</v>
      </c>
    </row>
    <row r="227" spans="1:30">
      <c r="A227" t="s">
        <v>220</v>
      </c>
      <c r="B227" s="16">
        <v>44440</v>
      </c>
      <c r="C227" s="394">
        <v>44441</v>
      </c>
      <c r="D227" t="s">
        <v>63</v>
      </c>
      <c r="E227">
        <v>7775</v>
      </c>
      <c r="F227">
        <v>668</v>
      </c>
      <c r="G227">
        <v>620</v>
      </c>
      <c r="H227">
        <v>172</v>
      </c>
      <c r="I227">
        <v>428</v>
      </c>
      <c r="J227">
        <v>27</v>
      </c>
      <c r="K227">
        <v>107</v>
      </c>
      <c r="L227">
        <v>89</v>
      </c>
      <c r="M227">
        <v>4</v>
      </c>
      <c r="N227">
        <v>3</v>
      </c>
      <c r="O227">
        <v>397</v>
      </c>
      <c r="P227">
        <v>306</v>
      </c>
      <c r="Q227">
        <v>303</v>
      </c>
      <c r="R227">
        <v>295</v>
      </c>
      <c r="S227">
        <v>1302</v>
      </c>
      <c r="T227">
        <v>398</v>
      </c>
      <c r="U227">
        <v>904</v>
      </c>
      <c r="V227">
        <v>534</v>
      </c>
      <c r="W227">
        <v>344</v>
      </c>
      <c r="X227">
        <v>128</v>
      </c>
      <c r="Y227">
        <v>455</v>
      </c>
      <c r="Z227">
        <v>217</v>
      </c>
      <c r="AA227">
        <v>49</v>
      </c>
      <c r="AB227" t="s">
        <v>84</v>
      </c>
      <c r="AC227" t="s">
        <v>166</v>
      </c>
      <c r="AD227" t="s">
        <v>219</v>
      </c>
    </row>
    <row r="228" spans="1:30">
      <c r="A228" t="s">
        <v>220</v>
      </c>
      <c r="B228" s="16">
        <v>44440</v>
      </c>
      <c r="C228" s="394">
        <v>44441</v>
      </c>
      <c r="D228" t="s">
        <v>58</v>
      </c>
      <c r="E228">
        <v>5594</v>
      </c>
      <c r="F228">
        <v>417</v>
      </c>
      <c r="G228">
        <v>389</v>
      </c>
      <c r="H228">
        <v>196</v>
      </c>
      <c r="I228">
        <v>312</v>
      </c>
      <c r="J228">
        <v>33</v>
      </c>
      <c r="K228">
        <v>75</v>
      </c>
      <c r="L228">
        <v>72</v>
      </c>
      <c r="O228">
        <v>357</v>
      </c>
      <c r="P228">
        <v>350</v>
      </c>
      <c r="Q228">
        <v>304</v>
      </c>
      <c r="R228">
        <v>302</v>
      </c>
      <c r="S228">
        <v>715</v>
      </c>
      <c r="T228">
        <v>390</v>
      </c>
      <c r="U228">
        <v>325</v>
      </c>
      <c r="V228">
        <v>173</v>
      </c>
      <c r="W228">
        <v>220</v>
      </c>
      <c r="X228">
        <v>108</v>
      </c>
      <c r="Y228">
        <v>336</v>
      </c>
      <c r="Z228">
        <v>137</v>
      </c>
      <c r="AA228">
        <v>26</v>
      </c>
      <c r="AB228" t="s">
        <v>67</v>
      </c>
      <c r="AC228" t="s">
        <v>148</v>
      </c>
      <c r="AD228" t="s">
        <v>49</v>
      </c>
    </row>
    <row r="229" spans="1:30">
      <c r="A229" t="s">
        <v>220</v>
      </c>
      <c r="B229" s="16">
        <v>44440</v>
      </c>
      <c r="C229" s="394">
        <v>44441</v>
      </c>
      <c r="D229" t="s">
        <v>99</v>
      </c>
      <c r="E229">
        <v>6252</v>
      </c>
      <c r="F229">
        <v>557</v>
      </c>
      <c r="G229">
        <v>540</v>
      </c>
      <c r="H229">
        <v>473</v>
      </c>
      <c r="I229">
        <v>448</v>
      </c>
      <c r="J229">
        <v>119</v>
      </c>
      <c r="K229">
        <v>38</v>
      </c>
      <c r="L229">
        <v>13</v>
      </c>
      <c r="M229">
        <v>7</v>
      </c>
      <c r="N229">
        <v>11</v>
      </c>
      <c r="O229">
        <v>343</v>
      </c>
      <c r="P229">
        <v>290</v>
      </c>
      <c r="Q229">
        <v>278</v>
      </c>
      <c r="R229">
        <v>285</v>
      </c>
      <c r="S229">
        <v>714</v>
      </c>
      <c r="T229">
        <v>464</v>
      </c>
      <c r="U229">
        <v>250</v>
      </c>
      <c r="V229">
        <v>71</v>
      </c>
      <c r="W229">
        <v>202</v>
      </c>
      <c r="X229">
        <v>130</v>
      </c>
      <c r="Y229">
        <v>336</v>
      </c>
      <c r="Z229">
        <v>163</v>
      </c>
      <c r="AA229">
        <v>28</v>
      </c>
      <c r="AB229" t="s">
        <v>103</v>
      </c>
      <c r="AC229" t="s">
        <v>185</v>
      </c>
      <c r="AD229" t="s">
        <v>221</v>
      </c>
    </row>
    <row r="230" spans="1:30">
      <c r="A230" t="s">
        <v>220</v>
      </c>
      <c r="B230" s="16">
        <v>44440</v>
      </c>
      <c r="C230" s="394">
        <v>44441</v>
      </c>
      <c r="D230" t="s">
        <v>78</v>
      </c>
      <c r="E230">
        <v>11974</v>
      </c>
      <c r="F230">
        <v>788</v>
      </c>
      <c r="G230">
        <v>719</v>
      </c>
      <c r="H230">
        <v>349</v>
      </c>
      <c r="I230">
        <v>549</v>
      </c>
      <c r="J230">
        <v>51</v>
      </c>
      <c r="K230">
        <v>106</v>
      </c>
      <c r="L230">
        <v>55</v>
      </c>
      <c r="M230">
        <v>50</v>
      </c>
      <c r="N230">
        <v>52</v>
      </c>
      <c r="O230">
        <v>594</v>
      </c>
      <c r="P230">
        <v>142</v>
      </c>
      <c r="Q230">
        <v>121</v>
      </c>
      <c r="R230">
        <v>112</v>
      </c>
      <c r="S230">
        <v>1439</v>
      </c>
      <c r="T230">
        <v>441</v>
      </c>
      <c r="U230">
        <v>998</v>
      </c>
      <c r="V230">
        <v>73</v>
      </c>
      <c r="W230">
        <v>350</v>
      </c>
      <c r="X230">
        <v>160</v>
      </c>
      <c r="Y230">
        <v>559</v>
      </c>
      <c r="Z230">
        <v>223</v>
      </c>
      <c r="AA230">
        <v>50</v>
      </c>
      <c r="AB230" t="s">
        <v>84</v>
      </c>
      <c r="AC230" t="s">
        <v>166</v>
      </c>
      <c r="AD230" t="s">
        <v>159</v>
      </c>
    </row>
    <row r="231" spans="1:30">
      <c r="A231" t="s">
        <v>220</v>
      </c>
      <c r="B231" s="16">
        <v>44440</v>
      </c>
      <c r="C231" s="394">
        <v>44441</v>
      </c>
      <c r="D231" t="s">
        <v>76</v>
      </c>
      <c r="E231">
        <v>8494</v>
      </c>
      <c r="F231">
        <v>804</v>
      </c>
      <c r="G231">
        <v>776</v>
      </c>
      <c r="H231">
        <v>692</v>
      </c>
      <c r="I231">
        <v>442</v>
      </c>
      <c r="J231">
        <v>90</v>
      </c>
      <c r="K231">
        <v>46</v>
      </c>
      <c r="L231">
        <v>44</v>
      </c>
      <c r="M231">
        <v>44</v>
      </c>
      <c r="N231">
        <v>43</v>
      </c>
      <c r="O231">
        <v>436</v>
      </c>
      <c r="P231">
        <v>358</v>
      </c>
      <c r="Q231">
        <v>353</v>
      </c>
      <c r="R231">
        <v>346</v>
      </c>
      <c r="S231">
        <v>1098</v>
      </c>
      <c r="T231">
        <v>585</v>
      </c>
      <c r="U231">
        <v>513</v>
      </c>
      <c r="V231">
        <v>166</v>
      </c>
      <c r="W231">
        <v>348</v>
      </c>
      <c r="X231">
        <v>193</v>
      </c>
      <c r="Y231">
        <v>449</v>
      </c>
      <c r="Z231">
        <v>190</v>
      </c>
      <c r="AA231">
        <v>78</v>
      </c>
      <c r="AB231" t="s">
        <v>77</v>
      </c>
      <c r="AC231" t="s">
        <v>158</v>
      </c>
      <c r="AD231" t="s">
        <v>156</v>
      </c>
    </row>
    <row r="232" spans="1:30">
      <c r="A232" t="s">
        <v>220</v>
      </c>
      <c r="B232" s="16">
        <v>44440</v>
      </c>
      <c r="C232" s="394">
        <v>44441</v>
      </c>
      <c r="D232" t="s">
        <v>79</v>
      </c>
      <c r="E232">
        <v>8221</v>
      </c>
      <c r="F232">
        <v>394</v>
      </c>
      <c r="G232">
        <v>361</v>
      </c>
      <c r="H232">
        <v>244</v>
      </c>
      <c r="I232">
        <v>210</v>
      </c>
      <c r="J232">
        <v>14</v>
      </c>
      <c r="K232">
        <v>33</v>
      </c>
      <c r="L232">
        <v>18</v>
      </c>
      <c r="M232">
        <v>15</v>
      </c>
      <c r="N232">
        <v>16</v>
      </c>
      <c r="O232">
        <v>318</v>
      </c>
      <c r="P232">
        <v>211</v>
      </c>
      <c r="Q232">
        <v>207</v>
      </c>
      <c r="R232">
        <v>202</v>
      </c>
      <c r="S232">
        <v>756</v>
      </c>
      <c r="T232">
        <v>286</v>
      </c>
      <c r="U232">
        <v>470</v>
      </c>
      <c r="V232">
        <v>113</v>
      </c>
      <c r="W232">
        <v>145</v>
      </c>
      <c r="X232">
        <v>83</v>
      </c>
      <c r="Y232">
        <v>255</v>
      </c>
      <c r="Z232">
        <v>135</v>
      </c>
      <c r="AA232">
        <v>24</v>
      </c>
      <c r="AB232" t="s">
        <v>84</v>
      </c>
      <c r="AC232" t="s">
        <v>166</v>
      </c>
      <c r="AD232" t="s">
        <v>160</v>
      </c>
    </row>
    <row r="233" spans="1:30">
      <c r="A233" t="s">
        <v>220</v>
      </c>
      <c r="B233" s="16">
        <v>44440</v>
      </c>
      <c r="C233" s="394">
        <v>44441</v>
      </c>
      <c r="D233" t="s">
        <v>86</v>
      </c>
      <c r="E233">
        <v>1674</v>
      </c>
      <c r="F233">
        <v>133</v>
      </c>
      <c r="G233">
        <v>129</v>
      </c>
      <c r="H233">
        <v>97</v>
      </c>
      <c r="I233">
        <v>107</v>
      </c>
      <c r="J233">
        <v>7</v>
      </c>
      <c r="K233">
        <v>19</v>
      </c>
      <c r="L233">
        <v>14</v>
      </c>
      <c r="M233">
        <v>11</v>
      </c>
      <c r="N233">
        <v>8</v>
      </c>
      <c r="O233">
        <v>86</v>
      </c>
      <c r="P233">
        <v>63</v>
      </c>
      <c r="Q233">
        <v>63</v>
      </c>
      <c r="R233">
        <v>63</v>
      </c>
      <c r="S233">
        <v>267</v>
      </c>
      <c r="T233">
        <v>100</v>
      </c>
      <c r="U233">
        <v>167</v>
      </c>
      <c r="V233">
        <v>34</v>
      </c>
      <c r="W233">
        <v>71</v>
      </c>
      <c r="X233">
        <v>32</v>
      </c>
      <c r="Y233">
        <v>78</v>
      </c>
      <c r="Z233">
        <v>22</v>
      </c>
      <c r="AA233">
        <v>10</v>
      </c>
      <c r="AB233" t="s">
        <v>91</v>
      </c>
      <c r="AC233" t="s">
        <v>173</v>
      </c>
      <c r="AD233" t="s">
        <v>168</v>
      </c>
    </row>
    <row r="234" spans="1:30">
      <c r="A234" t="s">
        <v>220</v>
      </c>
      <c r="B234" s="16">
        <v>44440</v>
      </c>
      <c r="C234" s="394">
        <v>44441</v>
      </c>
      <c r="D234" t="s">
        <v>102</v>
      </c>
      <c r="E234">
        <v>12801</v>
      </c>
      <c r="F234">
        <v>785</v>
      </c>
      <c r="G234">
        <v>727</v>
      </c>
      <c r="H234">
        <v>430</v>
      </c>
      <c r="I234">
        <v>564</v>
      </c>
      <c r="J234">
        <v>76</v>
      </c>
      <c r="K234">
        <v>108</v>
      </c>
      <c r="L234">
        <v>7</v>
      </c>
      <c r="M234">
        <v>2</v>
      </c>
      <c r="N234">
        <v>5</v>
      </c>
      <c r="O234">
        <v>578</v>
      </c>
      <c r="P234">
        <v>102</v>
      </c>
      <c r="Q234">
        <v>62</v>
      </c>
      <c r="R234">
        <v>64</v>
      </c>
      <c r="S234">
        <v>1451</v>
      </c>
      <c r="T234">
        <v>694</v>
      </c>
      <c r="U234">
        <v>757</v>
      </c>
      <c r="V234">
        <v>127</v>
      </c>
      <c r="W234">
        <v>335</v>
      </c>
      <c r="X234">
        <v>185</v>
      </c>
      <c r="Y234">
        <v>487</v>
      </c>
      <c r="Z234">
        <v>242</v>
      </c>
      <c r="AA234">
        <v>31</v>
      </c>
      <c r="AB234" t="s">
        <v>103</v>
      </c>
      <c r="AC234" t="s">
        <v>185</v>
      </c>
      <c r="AD234" t="s">
        <v>184</v>
      </c>
    </row>
    <row r="235" spans="1:30">
      <c r="A235" t="s">
        <v>220</v>
      </c>
      <c r="B235" s="16">
        <v>44440</v>
      </c>
      <c r="C235" s="394">
        <v>44441</v>
      </c>
      <c r="D235" t="s">
        <v>100</v>
      </c>
      <c r="E235">
        <v>5861</v>
      </c>
      <c r="F235">
        <v>469</v>
      </c>
      <c r="G235">
        <v>440</v>
      </c>
      <c r="H235">
        <v>175</v>
      </c>
      <c r="I235">
        <v>302</v>
      </c>
      <c r="J235">
        <v>35</v>
      </c>
      <c r="K235">
        <v>65</v>
      </c>
      <c r="L235">
        <v>21</v>
      </c>
      <c r="M235">
        <v>2</v>
      </c>
      <c r="N235">
        <v>4</v>
      </c>
      <c r="O235">
        <v>265</v>
      </c>
      <c r="P235">
        <v>124</v>
      </c>
      <c r="Q235">
        <v>90</v>
      </c>
      <c r="R235">
        <v>78</v>
      </c>
      <c r="S235">
        <v>813</v>
      </c>
      <c r="T235">
        <v>296</v>
      </c>
      <c r="U235">
        <v>517</v>
      </c>
      <c r="V235">
        <v>75</v>
      </c>
      <c r="W235">
        <v>202</v>
      </c>
      <c r="X235">
        <v>113</v>
      </c>
      <c r="Y235">
        <v>300</v>
      </c>
      <c r="Z235">
        <v>161</v>
      </c>
      <c r="AA235">
        <v>39</v>
      </c>
      <c r="AB235" t="s">
        <v>103</v>
      </c>
      <c r="AC235" t="s">
        <v>185</v>
      </c>
      <c r="AD235" t="s">
        <v>182</v>
      </c>
    </row>
    <row r="236" spans="1:30">
      <c r="A236" t="s">
        <v>220</v>
      </c>
      <c r="B236" s="16">
        <v>44440</v>
      </c>
      <c r="C236" s="394">
        <v>44441</v>
      </c>
      <c r="D236" t="s">
        <v>59</v>
      </c>
      <c r="E236">
        <v>11896</v>
      </c>
      <c r="F236">
        <v>869</v>
      </c>
      <c r="G236">
        <v>829</v>
      </c>
      <c r="H236">
        <v>710</v>
      </c>
      <c r="I236">
        <v>699</v>
      </c>
      <c r="J236">
        <v>90</v>
      </c>
      <c r="K236">
        <v>113</v>
      </c>
      <c r="L236">
        <v>106</v>
      </c>
      <c r="M236">
        <v>49</v>
      </c>
      <c r="N236">
        <v>74</v>
      </c>
      <c r="O236">
        <v>579</v>
      </c>
      <c r="P236">
        <v>447</v>
      </c>
      <c r="Q236">
        <v>428</v>
      </c>
      <c r="R236">
        <v>435</v>
      </c>
      <c r="S236">
        <v>1488</v>
      </c>
      <c r="T236">
        <v>692</v>
      </c>
      <c r="U236">
        <v>796</v>
      </c>
      <c r="V236">
        <v>497</v>
      </c>
      <c r="W236">
        <v>575</v>
      </c>
      <c r="X236">
        <v>221</v>
      </c>
      <c r="Y236">
        <v>501</v>
      </c>
      <c r="Z236">
        <v>228</v>
      </c>
      <c r="AA236">
        <v>3</v>
      </c>
      <c r="AB236" t="s">
        <v>77</v>
      </c>
      <c r="AC236" t="s">
        <v>158</v>
      </c>
      <c r="AD236" t="s">
        <v>51</v>
      </c>
    </row>
    <row r="237" spans="1:30">
      <c r="A237" t="s">
        <v>220</v>
      </c>
      <c r="B237" s="16">
        <v>44440</v>
      </c>
      <c r="C237" s="394">
        <v>44441</v>
      </c>
      <c r="D237" t="s">
        <v>71</v>
      </c>
      <c r="E237">
        <v>5763</v>
      </c>
      <c r="F237">
        <v>349</v>
      </c>
      <c r="G237">
        <v>321</v>
      </c>
      <c r="H237">
        <v>133</v>
      </c>
      <c r="I237">
        <v>144</v>
      </c>
      <c r="J237">
        <v>5</v>
      </c>
      <c r="K237">
        <v>73</v>
      </c>
      <c r="L237">
        <v>45</v>
      </c>
      <c r="M237">
        <v>8</v>
      </c>
      <c r="N237">
        <v>32</v>
      </c>
      <c r="O237">
        <v>324</v>
      </c>
      <c r="P237">
        <v>136</v>
      </c>
      <c r="Q237">
        <v>132</v>
      </c>
      <c r="R237">
        <v>127</v>
      </c>
      <c r="S237">
        <v>1098</v>
      </c>
      <c r="T237">
        <v>421</v>
      </c>
      <c r="U237">
        <v>677</v>
      </c>
      <c r="V237">
        <v>33</v>
      </c>
      <c r="W237">
        <v>281</v>
      </c>
      <c r="X237">
        <v>130</v>
      </c>
      <c r="Y237">
        <v>485</v>
      </c>
      <c r="Z237">
        <v>273</v>
      </c>
      <c r="AA237">
        <v>6</v>
      </c>
      <c r="AB237" t="s">
        <v>74</v>
      </c>
      <c r="AC237" t="s">
        <v>154</v>
      </c>
      <c r="AD237" t="s">
        <v>152</v>
      </c>
    </row>
    <row r="238" spans="1:30">
      <c r="A238" t="s">
        <v>220</v>
      </c>
      <c r="B238" s="16">
        <v>44440</v>
      </c>
      <c r="C238" s="394">
        <v>44441</v>
      </c>
      <c r="D238" t="s">
        <v>95</v>
      </c>
      <c r="E238">
        <v>4516</v>
      </c>
      <c r="F238">
        <v>297</v>
      </c>
      <c r="G238">
        <v>284</v>
      </c>
      <c r="H238">
        <v>151</v>
      </c>
      <c r="I238">
        <v>125</v>
      </c>
      <c r="J238">
        <v>2</v>
      </c>
      <c r="K238">
        <v>33</v>
      </c>
      <c r="L238">
        <v>18</v>
      </c>
      <c r="M238">
        <v>5</v>
      </c>
      <c r="N238">
        <v>14</v>
      </c>
      <c r="O238">
        <v>203</v>
      </c>
      <c r="P238">
        <v>65</v>
      </c>
      <c r="Q238">
        <v>63</v>
      </c>
      <c r="R238">
        <v>62</v>
      </c>
      <c r="S238">
        <v>480</v>
      </c>
      <c r="T238">
        <v>163</v>
      </c>
      <c r="U238">
        <v>317</v>
      </c>
      <c r="V238">
        <v>23</v>
      </c>
      <c r="W238">
        <v>128</v>
      </c>
      <c r="X238">
        <v>71</v>
      </c>
      <c r="Y238">
        <v>173</v>
      </c>
      <c r="Z238">
        <v>89</v>
      </c>
      <c r="AA238">
        <v>6</v>
      </c>
      <c r="AB238" t="s">
        <v>97</v>
      </c>
      <c r="AC238" t="s">
        <v>179</v>
      </c>
      <c r="AD238" t="s">
        <v>177</v>
      </c>
    </row>
    <row r="239" spans="1:30">
      <c r="A239" t="s">
        <v>220</v>
      </c>
      <c r="B239" s="16">
        <v>44440</v>
      </c>
      <c r="C239" s="394">
        <v>44441</v>
      </c>
      <c r="D239" t="s">
        <v>83</v>
      </c>
      <c r="E239">
        <v>4068</v>
      </c>
      <c r="F239">
        <v>365</v>
      </c>
      <c r="G239">
        <v>346</v>
      </c>
      <c r="H239">
        <v>65</v>
      </c>
      <c r="I239">
        <v>153</v>
      </c>
      <c r="J239">
        <v>12</v>
      </c>
      <c r="K239">
        <v>36</v>
      </c>
      <c r="L239">
        <v>11</v>
      </c>
      <c r="M239">
        <v>0</v>
      </c>
      <c r="N239">
        <v>0</v>
      </c>
      <c r="O239">
        <v>206</v>
      </c>
      <c r="P239">
        <v>117</v>
      </c>
      <c r="Q239">
        <v>109</v>
      </c>
      <c r="R239">
        <v>106</v>
      </c>
      <c r="S239">
        <v>665</v>
      </c>
      <c r="T239">
        <v>206</v>
      </c>
      <c r="U239">
        <v>459</v>
      </c>
      <c r="V239">
        <v>30</v>
      </c>
      <c r="W239">
        <v>130</v>
      </c>
      <c r="X239">
        <v>60</v>
      </c>
      <c r="Y239">
        <v>212</v>
      </c>
      <c r="Z239">
        <v>122</v>
      </c>
      <c r="AA239">
        <v>21</v>
      </c>
      <c r="AB239" t="s">
        <v>84</v>
      </c>
      <c r="AC239" t="s">
        <v>166</v>
      </c>
      <c r="AD239" t="s">
        <v>164</v>
      </c>
    </row>
    <row r="240" spans="1:30">
      <c r="A240" t="s">
        <v>220</v>
      </c>
      <c r="B240" s="16">
        <v>44440</v>
      </c>
      <c r="C240" s="394">
        <v>44441</v>
      </c>
      <c r="D240" t="s">
        <v>92</v>
      </c>
      <c r="E240">
        <v>11496</v>
      </c>
      <c r="F240">
        <v>656</v>
      </c>
      <c r="G240">
        <v>621</v>
      </c>
      <c r="H240">
        <v>454</v>
      </c>
      <c r="I240">
        <v>293</v>
      </c>
      <c r="J240">
        <v>33</v>
      </c>
      <c r="K240">
        <v>89</v>
      </c>
      <c r="L240">
        <v>51</v>
      </c>
      <c r="M240">
        <v>29</v>
      </c>
      <c r="N240">
        <v>33</v>
      </c>
      <c r="O240">
        <v>654</v>
      </c>
      <c r="P240">
        <v>432</v>
      </c>
      <c r="Q240">
        <v>406</v>
      </c>
      <c r="R240">
        <v>410</v>
      </c>
      <c r="S240">
        <v>1259</v>
      </c>
      <c r="T240">
        <v>679</v>
      </c>
      <c r="U240">
        <v>580</v>
      </c>
      <c r="V240">
        <v>169</v>
      </c>
      <c r="W240">
        <v>306</v>
      </c>
      <c r="X240">
        <v>149</v>
      </c>
      <c r="Y240">
        <v>440</v>
      </c>
      <c r="Z240">
        <v>197</v>
      </c>
      <c r="AA240">
        <v>8</v>
      </c>
      <c r="AB240" t="s">
        <v>97</v>
      </c>
      <c r="AC240" t="s">
        <v>179</v>
      </c>
      <c r="AD240" t="s">
        <v>174</v>
      </c>
    </row>
    <row r="241" spans="1:30">
      <c r="A241" t="s">
        <v>220</v>
      </c>
      <c r="B241" s="16">
        <v>44440</v>
      </c>
      <c r="C241" s="394">
        <v>44441</v>
      </c>
      <c r="D241" t="s">
        <v>72</v>
      </c>
      <c r="E241">
        <v>5907</v>
      </c>
      <c r="F241">
        <v>350</v>
      </c>
      <c r="G241">
        <v>322</v>
      </c>
      <c r="H241">
        <v>278</v>
      </c>
      <c r="I241">
        <v>105</v>
      </c>
      <c r="J241">
        <v>22</v>
      </c>
      <c r="K241">
        <v>64</v>
      </c>
      <c r="L241">
        <v>47</v>
      </c>
      <c r="M241">
        <v>41</v>
      </c>
      <c r="N241">
        <v>4</v>
      </c>
      <c r="O241">
        <v>373</v>
      </c>
      <c r="P241">
        <v>290</v>
      </c>
      <c r="Q241">
        <v>277</v>
      </c>
      <c r="R241">
        <v>261</v>
      </c>
      <c r="S241">
        <v>813</v>
      </c>
      <c r="T241">
        <v>585</v>
      </c>
      <c r="U241">
        <v>228</v>
      </c>
      <c r="V241">
        <v>63</v>
      </c>
      <c r="W241">
        <v>236</v>
      </c>
      <c r="X241">
        <v>106</v>
      </c>
      <c r="Y241">
        <v>372</v>
      </c>
      <c r="Z241">
        <v>184</v>
      </c>
      <c r="AA241">
        <v>10</v>
      </c>
      <c r="AB241" t="s">
        <v>74</v>
      </c>
      <c r="AC241" t="s">
        <v>154</v>
      </c>
      <c r="AD241" t="s">
        <v>153</v>
      </c>
    </row>
    <row r="242" spans="1:30">
      <c r="A242" t="s">
        <v>220</v>
      </c>
      <c r="B242" s="16">
        <v>44440</v>
      </c>
      <c r="C242" s="394">
        <v>44441</v>
      </c>
      <c r="D242" t="s">
        <v>85</v>
      </c>
      <c r="E242">
        <v>5306</v>
      </c>
      <c r="F242">
        <v>313</v>
      </c>
      <c r="G242">
        <v>297</v>
      </c>
      <c r="H242">
        <v>222</v>
      </c>
      <c r="I242">
        <v>238</v>
      </c>
      <c r="J242">
        <v>71</v>
      </c>
      <c r="K242">
        <v>30</v>
      </c>
      <c r="L242">
        <v>24</v>
      </c>
      <c r="M242">
        <v>20</v>
      </c>
      <c r="N242">
        <v>23</v>
      </c>
      <c r="O242">
        <v>268</v>
      </c>
      <c r="P242">
        <v>187</v>
      </c>
      <c r="Q242">
        <v>185</v>
      </c>
      <c r="R242">
        <v>182</v>
      </c>
      <c r="S242">
        <v>602</v>
      </c>
      <c r="T242">
        <v>270</v>
      </c>
      <c r="U242">
        <v>332</v>
      </c>
      <c r="V242">
        <v>50</v>
      </c>
      <c r="W242">
        <v>154</v>
      </c>
      <c r="X242">
        <v>63</v>
      </c>
      <c r="Y242">
        <v>277</v>
      </c>
      <c r="Z242">
        <v>122</v>
      </c>
      <c r="AA242">
        <v>12</v>
      </c>
      <c r="AB242" t="s">
        <v>91</v>
      </c>
      <c r="AC242" t="s">
        <v>173</v>
      </c>
      <c r="AD242" t="s">
        <v>167</v>
      </c>
    </row>
    <row r="243" spans="1:30">
      <c r="A243" t="s">
        <v>220</v>
      </c>
      <c r="B243" s="16">
        <v>44440</v>
      </c>
      <c r="C243" s="394">
        <v>44441</v>
      </c>
      <c r="D243" t="s">
        <v>88</v>
      </c>
      <c r="E243">
        <v>4653</v>
      </c>
      <c r="F243">
        <v>423</v>
      </c>
      <c r="G243">
        <v>403</v>
      </c>
      <c r="H243">
        <v>271</v>
      </c>
      <c r="I243">
        <v>299</v>
      </c>
      <c r="J243">
        <v>44</v>
      </c>
      <c r="K243">
        <v>57</v>
      </c>
      <c r="L243">
        <v>31</v>
      </c>
      <c r="M243">
        <v>26</v>
      </c>
      <c r="N243">
        <v>26</v>
      </c>
      <c r="O243">
        <v>243</v>
      </c>
      <c r="P243">
        <v>138</v>
      </c>
      <c r="Q243">
        <v>137</v>
      </c>
      <c r="R243">
        <v>132</v>
      </c>
      <c r="S243">
        <v>689</v>
      </c>
      <c r="T243">
        <v>308</v>
      </c>
      <c r="U243">
        <v>381</v>
      </c>
      <c r="V243">
        <v>144</v>
      </c>
      <c r="W243">
        <v>202</v>
      </c>
      <c r="X243">
        <v>86</v>
      </c>
      <c r="Y243">
        <v>287</v>
      </c>
      <c r="Z243">
        <v>151</v>
      </c>
      <c r="AA243">
        <v>1</v>
      </c>
      <c r="AB243" t="s">
        <v>91</v>
      </c>
      <c r="AC243" t="s">
        <v>173</v>
      </c>
      <c r="AD243" t="s">
        <v>170</v>
      </c>
    </row>
    <row r="244" spans="1:30">
      <c r="A244" t="s">
        <v>220</v>
      </c>
      <c r="B244" s="16">
        <v>44440</v>
      </c>
      <c r="C244" s="394">
        <v>44441</v>
      </c>
      <c r="D244" t="s">
        <v>64</v>
      </c>
      <c r="E244">
        <v>5291</v>
      </c>
      <c r="F244">
        <v>294</v>
      </c>
      <c r="G244">
        <v>279</v>
      </c>
      <c r="H244">
        <v>149</v>
      </c>
      <c r="I244">
        <v>201</v>
      </c>
      <c r="J244">
        <v>23</v>
      </c>
      <c r="K244">
        <v>24</v>
      </c>
      <c r="L244">
        <v>18</v>
      </c>
      <c r="M244">
        <v>6</v>
      </c>
      <c r="N244">
        <v>5</v>
      </c>
      <c r="O244">
        <v>185</v>
      </c>
      <c r="P244">
        <v>104</v>
      </c>
      <c r="Q244">
        <v>91</v>
      </c>
      <c r="R244">
        <v>86</v>
      </c>
      <c r="S244">
        <v>537</v>
      </c>
      <c r="T244">
        <v>304</v>
      </c>
      <c r="U244">
        <v>233</v>
      </c>
      <c r="V244">
        <v>56</v>
      </c>
      <c r="W244">
        <v>114</v>
      </c>
      <c r="X244">
        <v>48</v>
      </c>
      <c r="Y244">
        <v>169</v>
      </c>
      <c r="Z244">
        <v>90</v>
      </c>
      <c r="AA244">
        <v>13</v>
      </c>
      <c r="AB244" t="s">
        <v>67</v>
      </c>
      <c r="AC244" t="s">
        <v>148</v>
      </c>
      <c r="AD244" t="s">
        <v>144</v>
      </c>
    </row>
    <row r="245" spans="1:30">
      <c r="A245" t="s">
        <v>220</v>
      </c>
      <c r="B245" s="16">
        <v>44440</v>
      </c>
      <c r="C245" s="394">
        <v>44441</v>
      </c>
      <c r="D245" t="s">
        <v>70</v>
      </c>
      <c r="E245">
        <v>10654</v>
      </c>
      <c r="F245">
        <v>818</v>
      </c>
      <c r="G245">
        <v>771</v>
      </c>
      <c r="H245">
        <v>389</v>
      </c>
      <c r="I245">
        <v>251</v>
      </c>
      <c r="J245">
        <v>17</v>
      </c>
      <c r="K245">
        <v>229</v>
      </c>
      <c r="L245">
        <v>175</v>
      </c>
      <c r="M245">
        <v>62</v>
      </c>
      <c r="N245">
        <v>147</v>
      </c>
      <c r="O245">
        <v>712</v>
      </c>
      <c r="P245">
        <v>377</v>
      </c>
      <c r="Q245">
        <v>360</v>
      </c>
      <c r="R245">
        <v>363</v>
      </c>
      <c r="S245">
        <v>1838</v>
      </c>
      <c r="T245">
        <v>888</v>
      </c>
      <c r="U245">
        <v>950</v>
      </c>
      <c r="V245">
        <v>222</v>
      </c>
      <c r="W245">
        <v>601</v>
      </c>
      <c r="X245">
        <v>263</v>
      </c>
      <c r="Y245">
        <v>840</v>
      </c>
      <c r="Z245">
        <v>399</v>
      </c>
      <c r="AA245">
        <v>78</v>
      </c>
      <c r="AB245" t="s">
        <v>74</v>
      </c>
      <c r="AC245" t="s">
        <v>154</v>
      </c>
      <c r="AD245" t="s">
        <v>151</v>
      </c>
    </row>
    <row r="246" spans="1:30">
      <c r="A246" t="s">
        <v>220</v>
      </c>
      <c r="B246" s="16">
        <v>44440</v>
      </c>
      <c r="C246" s="394">
        <v>44441</v>
      </c>
      <c r="D246" t="s">
        <v>57</v>
      </c>
      <c r="E246">
        <v>4096</v>
      </c>
      <c r="F246">
        <v>374</v>
      </c>
      <c r="G246">
        <v>362</v>
      </c>
      <c r="H246">
        <v>271</v>
      </c>
      <c r="I246">
        <v>265</v>
      </c>
      <c r="J246">
        <v>47</v>
      </c>
      <c r="K246">
        <v>62</v>
      </c>
      <c r="L246">
        <v>53</v>
      </c>
      <c r="M246">
        <v>10</v>
      </c>
      <c r="N246">
        <v>2</v>
      </c>
      <c r="O246">
        <v>210</v>
      </c>
      <c r="P246">
        <v>144</v>
      </c>
      <c r="Q246">
        <v>139</v>
      </c>
      <c r="R246">
        <v>135</v>
      </c>
      <c r="S246">
        <v>778</v>
      </c>
      <c r="T246">
        <v>254</v>
      </c>
      <c r="U246">
        <v>524</v>
      </c>
      <c r="V246">
        <v>362</v>
      </c>
      <c r="W246">
        <v>194</v>
      </c>
      <c r="X246">
        <v>92</v>
      </c>
      <c r="Y246">
        <v>257</v>
      </c>
      <c r="Z246">
        <v>99</v>
      </c>
      <c r="AA246">
        <v>32</v>
      </c>
      <c r="AB246" t="s">
        <v>67</v>
      </c>
      <c r="AC246" t="s">
        <v>148</v>
      </c>
      <c r="AD246" t="s">
        <v>48</v>
      </c>
    </row>
    <row r="247" spans="1:30">
      <c r="A247" t="s">
        <v>220</v>
      </c>
      <c r="B247" s="16">
        <v>44440</v>
      </c>
      <c r="C247" s="394">
        <v>44441</v>
      </c>
      <c r="D247" t="s">
        <v>96</v>
      </c>
      <c r="E247">
        <v>7392</v>
      </c>
      <c r="F247">
        <v>524</v>
      </c>
      <c r="G247">
        <v>502</v>
      </c>
      <c r="H247">
        <v>209</v>
      </c>
      <c r="I247">
        <v>335</v>
      </c>
      <c r="J247">
        <v>24</v>
      </c>
      <c r="K247">
        <v>94</v>
      </c>
      <c r="L247">
        <v>61</v>
      </c>
      <c r="M247">
        <v>49</v>
      </c>
      <c r="N247">
        <v>57</v>
      </c>
      <c r="O247">
        <v>364</v>
      </c>
      <c r="P247">
        <v>182</v>
      </c>
      <c r="Q247">
        <v>160</v>
      </c>
      <c r="R247">
        <v>152</v>
      </c>
      <c r="S247">
        <v>1113</v>
      </c>
      <c r="T247">
        <v>456</v>
      </c>
      <c r="U247">
        <v>657</v>
      </c>
      <c r="V247">
        <v>93</v>
      </c>
      <c r="W247">
        <v>260</v>
      </c>
      <c r="X247">
        <v>119</v>
      </c>
      <c r="Y247">
        <v>401</v>
      </c>
      <c r="Z247">
        <v>176</v>
      </c>
      <c r="AA247">
        <v>12</v>
      </c>
      <c r="AB247" t="s">
        <v>97</v>
      </c>
      <c r="AC247" t="s">
        <v>179</v>
      </c>
      <c r="AD247" t="s">
        <v>178</v>
      </c>
    </row>
    <row r="248" spans="1:30">
      <c r="A248" t="s">
        <v>220</v>
      </c>
      <c r="B248" s="16">
        <v>44440</v>
      </c>
      <c r="C248" s="394">
        <v>44441</v>
      </c>
      <c r="D248" t="s">
        <v>82</v>
      </c>
      <c r="E248">
        <v>6358</v>
      </c>
      <c r="F248">
        <v>503</v>
      </c>
      <c r="G248">
        <v>472</v>
      </c>
      <c r="H248">
        <v>276</v>
      </c>
      <c r="I248">
        <v>386</v>
      </c>
      <c r="J248">
        <v>41</v>
      </c>
      <c r="K248">
        <v>58</v>
      </c>
      <c r="L248">
        <v>42</v>
      </c>
      <c r="M248">
        <v>37</v>
      </c>
      <c r="N248">
        <v>39</v>
      </c>
      <c r="O248">
        <v>341</v>
      </c>
      <c r="P248">
        <v>226</v>
      </c>
      <c r="Q248">
        <v>224</v>
      </c>
      <c r="R248">
        <v>217</v>
      </c>
      <c r="S248">
        <v>696</v>
      </c>
      <c r="T248">
        <v>320</v>
      </c>
      <c r="U248">
        <v>376</v>
      </c>
      <c r="V248">
        <v>82</v>
      </c>
      <c r="W248">
        <v>190</v>
      </c>
      <c r="X248">
        <v>90</v>
      </c>
      <c r="Y248">
        <v>321</v>
      </c>
      <c r="Z248">
        <v>150</v>
      </c>
      <c r="AA248">
        <v>26</v>
      </c>
      <c r="AB248" t="s">
        <v>84</v>
      </c>
      <c r="AC248" t="s">
        <v>166</v>
      </c>
      <c r="AD248" t="s">
        <v>163</v>
      </c>
    </row>
    <row r="249" spans="1:30">
      <c r="A249" t="s">
        <v>220</v>
      </c>
      <c r="B249" s="16">
        <v>44440</v>
      </c>
      <c r="C249" s="394">
        <v>44441</v>
      </c>
      <c r="D249" t="s">
        <v>54</v>
      </c>
      <c r="E249">
        <v>6503</v>
      </c>
      <c r="F249">
        <v>416</v>
      </c>
      <c r="G249">
        <v>377</v>
      </c>
      <c r="H249">
        <v>205</v>
      </c>
      <c r="I249">
        <v>278</v>
      </c>
      <c r="J249">
        <v>26</v>
      </c>
      <c r="K249">
        <v>100</v>
      </c>
      <c r="L249">
        <v>75</v>
      </c>
      <c r="M249">
        <v>44</v>
      </c>
      <c r="N249">
        <v>59</v>
      </c>
      <c r="O249">
        <v>325</v>
      </c>
      <c r="P249">
        <v>246</v>
      </c>
      <c r="Q249">
        <v>234</v>
      </c>
      <c r="R249">
        <v>228</v>
      </c>
      <c r="S249">
        <v>870</v>
      </c>
      <c r="T249">
        <v>457</v>
      </c>
      <c r="U249">
        <v>413</v>
      </c>
      <c r="V249">
        <v>21</v>
      </c>
      <c r="W249">
        <v>265</v>
      </c>
      <c r="X249">
        <v>90</v>
      </c>
      <c r="Y249">
        <v>398</v>
      </c>
      <c r="Z249">
        <v>210</v>
      </c>
      <c r="AA249">
        <v>39</v>
      </c>
      <c r="AB249" t="s">
        <v>67</v>
      </c>
      <c r="AC249" t="s">
        <v>148</v>
      </c>
      <c r="AD249" t="s">
        <v>142</v>
      </c>
    </row>
    <row r="250" spans="1:30">
      <c r="A250" t="s">
        <v>220</v>
      </c>
      <c r="B250" s="16">
        <v>44440</v>
      </c>
      <c r="C250" s="394">
        <v>44441</v>
      </c>
      <c r="D250" t="s">
        <v>89</v>
      </c>
      <c r="E250">
        <v>11693</v>
      </c>
      <c r="F250">
        <v>863</v>
      </c>
      <c r="G250">
        <v>825</v>
      </c>
      <c r="H250">
        <v>561</v>
      </c>
      <c r="I250">
        <v>442</v>
      </c>
      <c r="J250">
        <v>60</v>
      </c>
      <c r="K250">
        <v>120</v>
      </c>
      <c r="L250">
        <v>94</v>
      </c>
      <c r="M250">
        <v>82</v>
      </c>
      <c r="N250">
        <v>88</v>
      </c>
      <c r="O250">
        <v>564</v>
      </c>
      <c r="P250">
        <v>411</v>
      </c>
      <c r="Q250">
        <v>397</v>
      </c>
      <c r="R250">
        <v>388</v>
      </c>
      <c r="S250">
        <v>1779</v>
      </c>
      <c r="T250">
        <v>959</v>
      </c>
      <c r="U250">
        <v>820</v>
      </c>
      <c r="V250">
        <v>314</v>
      </c>
      <c r="W250">
        <v>310</v>
      </c>
      <c r="X250">
        <v>167</v>
      </c>
      <c r="Y250">
        <v>404</v>
      </c>
      <c r="Z250">
        <v>218</v>
      </c>
      <c r="AA250">
        <v>26</v>
      </c>
      <c r="AB250" t="s">
        <v>91</v>
      </c>
      <c r="AC250" t="s">
        <v>173</v>
      </c>
      <c r="AD250" t="s">
        <v>171</v>
      </c>
    </row>
    <row r="251" spans="1:30">
      <c r="A251" t="s">
        <v>220</v>
      </c>
      <c r="B251" s="16">
        <v>44440</v>
      </c>
      <c r="C251" s="394">
        <v>44441</v>
      </c>
      <c r="D251" t="s">
        <v>101</v>
      </c>
      <c r="E251">
        <v>4484</v>
      </c>
      <c r="F251">
        <v>234</v>
      </c>
      <c r="G251">
        <v>220</v>
      </c>
      <c r="H251">
        <v>209</v>
      </c>
      <c r="I251">
        <v>139</v>
      </c>
      <c r="J251">
        <v>45</v>
      </c>
      <c r="K251">
        <v>30</v>
      </c>
      <c r="L251">
        <v>21</v>
      </c>
      <c r="M251">
        <v>21</v>
      </c>
      <c r="N251">
        <v>20</v>
      </c>
      <c r="O251">
        <v>198</v>
      </c>
      <c r="P251">
        <v>172</v>
      </c>
      <c r="Q251">
        <v>169</v>
      </c>
      <c r="R251">
        <v>164</v>
      </c>
      <c r="S251">
        <v>457</v>
      </c>
      <c r="T251">
        <v>274</v>
      </c>
      <c r="U251">
        <v>183</v>
      </c>
      <c r="V251">
        <v>33</v>
      </c>
      <c r="W251">
        <v>80</v>
      </c>
      <c r="X251">
        <v>45</v>
      </c>
      <c r="Y251">
        <v>131</v>
      </c>
      <c r="Z251">
        <v>70</v>
      </c>
      <c r="AA251">
        <v>12</v>
      </c>
      <c r="AB251" t="s">
        <v>103</v>
      </c>
      <c r="AC251" t="s">
        <v>185</v>
      </c>
      <c r="AD251" t="s">
        <v>183</v>
      </c>
    </row>
    <row r="252" spans="1:30">
      <c r="A252" t="s">
        <v>220</v>
      </c>
      <c r="B252" s="16">
        <v>44440</v>
      </c>
      <c r="C252" s="394">
        <v>44441</v>
      </c>
      <c r="D252" t="s">
        <v>66</v>
      </c>
      <c r="E252">
        <v>3235</v>
      </c>
      <c r="F252">
        <v>124</v>
      </c>
      <c r="G252">
        <v>110</v>
      </c>
      <c r="H252">
        <v>78</v>
      </c>
      <c r="I252">
        <v>65</v>
      </c>
      <c r="J252">
        <v>14</v>
      </c>
      <c r="K252">
        <v>44</v>
      </c>
      <c r="L252">
        <v>31</v>
      </c>
      <c r="M252">
        <v>7</v>
      </c>
      <c r="N252">
        <v>2</v>
      </c>
      <c r="O252">
        <v>182</v>
      </c>
      <c r="P252">
        <v>123</v>
      </c>
      <c r="Q252">
        <v>122</v>
      </c>
      <c r="R252">
        <v>122</v>
      </c>
      <c r="S252">
        <v>293</v>
      </c>
      <c r="T252">
        <v>207</v>
      </c>
      <c r="U252">
        <v>86</v>
      </c>
      <c r="V252">
        <v>25</v>
      </c>
      <c r="W252">
        <v>75</v>
      </c>
      <c r="X252">
        <v>34</v>
      </c>
      <c r="Y252">
        <v>112</v>
      </c>
      <c r="Z252">
        <v>53</v>
      </c>
      <c r="AA252">
        <v>16</v>
      </c>
      <c r="AB252" t="s">
        <v>67</v>
      </c>
      <c r="AC252" t="s">
        <v>148</v>
      </c>
      <c r="AD252" t="s">
        <v>146</v>
      </c>
    </row>
    <row r="253" spans="1:30">
      <c r="A253" t="s">
        <v>220</v>
      </c>
      <c r="B253" s="16">
        <v>44440</v>
      </c>
      <c r="C253" s="394">
        <v>44441</v>
      </c>
      <c r="D253" t="s">
        <v>80</v>
      </c>
      <c r="E253">
        <v>5555</v>
      </c>
      <c r="F253">
        <v>359</v>
      </c>
      <c r="G253">
        <v>345</v>
      </c>
      <c r="H253">
        <v>275</v>
      </c>
      <c r="I253">
        <v>92</v>
      </c>
      <c r="J253">
        <v>3</v>
      </c>
      <c r="K253">
        <v>24</v>
      </c>
      <c r="L253">
        <v>15</v>
      </c>
      <c r="M253">
        <v>14</v>
      </c>
      <c r="N253">
        <v>15</v>
      </c>
      <c r="O253">
        <v>228</v>
      </c>
      <c r="P253">
        <v>214</v>
      </c>
      <c r="Q253">
        <v>212</v>
      </c>
      <c r="R253">
        <v>210</v>
      </c>
      <c r="S253">
        <v>599</v>
      </c>
      <c r="T253">
        <v>332</v>
      </c>
      <c r="U253">
        <v>267</v>
      </c>
      <c r="V253">
        <v>125</v>
      </c>
      <c r="W253">
        <v>140</v>
      </c>
      <c r="X253">
        <v>82</v>
      </c>
      <c r="Y253">
        <v>209</v>
      </c>
      <c r="Z253">
        <v>110</v>
      </c>
      <c r="AA253">
        <v>17</v>
      </c>
      <c r="AB253" t="s">
        <v>84</v>
      </c>
      <c r="AC253" t="s">
        <v>166</v>
      </c>
      <c r="AD253" t="s">
        <v>161</v>
      </c>
    </row>
    <row r="254" spans="1:30">
      <c r="A254" t="s">
        <v>220</v>
      </c>
      <c r="B254" s="16">
        <v>44440</v>
      </c>
      <c r="C254" s="394">
        <v>44441</v>
      </c>
      <c r="D254" t="s">
        <v>52</v>
      </c>
      <c r="E254">
        <v>3050</v>
      </c>
      <c r="F254">
        <v>223</v>
      </c>
      <c r="G254">
        <v>207</v>
      </c>
      <c r="H254">
        <v>140</v>
      </c>
      <c r="I254">
        <v>75</v>
      </c>
      <c r="J254">
        <v>13</v>
      </c>
      <c r="K254">
        <v>114</v>
      </c>
      <c r="L254">
        <v>91</v>
      </c>
      <c r="M254">
        <v>62</v>
      </c>
      <c r="N254">
        <v>12</v>
      </c>
      <c r="O254">
        <v>222</v>
      </c>
      <c r="P254">
        <v>153</v>
      </c>
      <c r="Q254">
        <v>150</v>
      </c>
      <c r="R254">
        <v>148</v>
      </c>
      <c r="S254">
        <v>750</v>
      </c>
      <c r="T254">
        <v>540</v>
      </c>
      <c r="U254">
        <v>210</v>
      </c>
      <c r="V254">
        <v>44</v>
      </c>
      <c r="W254">
        <v>210</v>
      </c>
      <c r="X254">
        <v>73</v>
      </c>
      <c r="Y254">
        <v>256</v>
      </c>
      <c r="Z254">
        <v>160</v>
      </c>
      <c r="AA254">
        <v>32</v>
      </c>
      <c r="AB254" t="s">
        <v>67</v>
      </c>
      <c r="AC254" t="s">
        <v>148</v>
      </c>
      <c r="AD254" t="s">
        <v>141</v>
      </c>
    </row>
    <row r="255" spans="1:30">
      <c r="A255" t="s">
        <v>220</v>
      </c>
      <c r="B255" s="16">
        <v>44440</v>
      </c>
      <c r="C255" s="394">
        <v>44441</v>
      </c>
      <c r="D255" t="s">
        <v>87</v>
      </c>
      <c r="E255">
        <v>2990</v>
      </c>
      <c r="F255">
        <v>255</v>
      </c>
      <c r="G255">
        <v>243</v>
      </c>
      <c r="H255">
        <v>175</v>
      </c>
      <c r="I255">
        <v>174</v>
      </c>
      <c r="J255">
        <v>25</v>
      </c>
      <c r="K255">
        <v>23</v>
      </c>
      <c r="L255">
        <v>19</v>
      </c>
      <c r="M255">
        <v>15</v>
      </c>
      <c r="N255">
        <v>16</v>
      </c>
      <c r="O255">
        <v>132</v>
      </c>
      <c r="P255">
        <v>97</v>
      </c>
      <c r="Q255">
        <v>97</v>
      </c>
      <c r="R255">
        <v>95</v>
      </c>
      <c r="S255">
        <v>453</v>
      </c>
      <c r="T255">
        <v>256</v>
      </c>
      <c r="U255">
        <v>197</v>
      </c>
      <c r="V255">
        <v>70</v>
      </c>
      <c r="W255">
        <v>91</v>
      </c>
      <c r="X255">
        <v>46</v>
      </c>
      <c r="Y255">
        <v>121</v>
      </c>
      <c r="Z255">
        <v>78</v>
      </c>
      <c r="AA255">
        <v>7</v>
      </c>
      <c r="AB255" t="s">
        <v>91</v>
      </c>
      <c r="AC255" t="s">
        <v>173</v>
      </c>
      <c r="AD255" t="s">
        <v>169</v>
      </c>
    </row>
    <row r="256" spans="1:30">
      <c r="A256" t="s">
        <v>220</v>
      </c>
      <c r="B256" s="16">
        <v>44440</v>
      </c>
      <c r="C256" s="394">
        <v>44441</v>
      </c>
      <c r="D256" t="s">
        <v>90</v>
      </c>
      <c r="E256">
        <v>2924</v>
      </c>
      <c r="F256">
        <v>218</v>
      </c>
      <c r="G256">
        <v>210</v>
      </c>
      <c r="H256">
        <v>165</v>
      </c>
      <c r="I256">
        <v>134</v>
      </c>
      <c r="J256">
        <v>16</v>
      </c>
      <c r="K256">
        <v>28</v>
      </c>
      <c r="L256">
        <v>14</v>
      </c>
      <c r="M256">
        <v>7</v>
      </c>
      <c r="N256">
        <v>4</v>
      </c>
      <c r="O256">
        <v>97</v>
      </c>
      <c r="P256">
        <v>83</v>
      </c>
      <c r="Q256">
        <v>83</v>
      </c>
      <c r="R256">
        <v>80</v>
      </c>
      <c r="S256">
        <v>339</v>
      </c>
      <c r="T256">
        <v>163</v>
      </c>
      <c r="U256">
        <v>176</v>
      </c>
      <c r="V256">
        <v>47</v>
      </c>
      <c r="W256">
        <v>84</v>
      </c>
      <c r="X256">
        <v>40</v>
      </c>
      <c r="Y256">
        <v>123</v>
      </c>
      <c r="Z256">
        <v>45</v>
      </c>
      <c r="AA256">
        <v>7</v>
      </c>
      <c r="AB256" t="s">
        <v>91</v>
      </c>
      <c r="AC256" t="s">
        <v>173</v>
      </c>
      <c r="AD256" t="s">
        <v>172</v>
      </c>
    </row>
    <row r="257" spans="1:30">
      <c r="A257" t="s">
        <v>220</v>
      </c>
      <c r="B257" s="16">
        <v>44440</v>
      </c>
      <c r="C257" s="394">
        <v>44441</v>
      </c>
      <c r="D257" t="s">
        <v>93</v>
      </c>
      <c r="E257">
        <v>2195</v>
      </c>
      <c r="F257">
        <v>212</v>
      </c>
      <c r="G257">
        <v>201</v>
      </c>
      <c r="H257">
        <v>138</v>
      </c>
      <c r="I257">
        <v>64</v>
      </c>
      <c r="J257">
        <v>4</v>
      </c>
      <c r="K257">
        <v>16</v>
      </c>
      <c r="L257">
        <v>6</v>
      </c>
      <c r="M257">
        <v>5</v>
      </c>
      <c r="N257">
        <v>6</v>
      </c>
      <c r="O257">
        <v>150</v>
      </c>
      <c r="P257">
        <v>87</v>
      </c>
      <c r="Q257">
        <v>82</v>
      </c>
      <c r="R257">
        <v>76</v>
      </c>
      <c r="S257">
        <v>370</v>
      </c>
      <c r="T257">
        <v>148</v>
      </c>
      <c r="U257">
        <v>222</v>
      </c>
      <c r="V257">
        <v>45</v>
      </c>
      <c r="W257">
        <v>87</v>
      </c>
      <c r="X257">
        <v>42</v>
      </c>
      <c r="Y257">
        <v>128</v>
      </c>
      <c r="Z257">
        <v>51</v>
      </c>
      <c r="AA257">
        <v>17</v>
      </c>
      <c r="AB257" t="s">
        <v>97</v>
      </c>
      <c r="AC257" t="s">
        <v>179</v>
      </c>
      <c r="AD257" t="s">
        <v>175</v>
      </c>
    </row>
    <row r="258" spans="1:30">
      <c r="A258" t="s">
        <v>220</v>
      </c>
      <c r="B258" s="16">
        <v>44440</v>
      </c>
      <c r="C258" s="394">
        <v>44441</v>
      </c>
      <c r="D258" t="s">
        <v>81</v>
      </c>
      <c r="E258">
        <v>2739</v>
      </c>
      <c r="F258">
        <v>205</v>
      </c>
      <c r="G258">
        <v>192</v>
      </c>
      <c r="H258">
        <v>68</v>
      </c>
      <c r="I258">
        <v>162</v>
      </c>
      <c r="J258">
        <v>24</v>
      </c>
      <c r="K258">
        <v>13</v>
      </c>
      <c r="L258">
        <v>9</v>
      </c>
      <c r="M258">
        <v>7</v>
      </c>
      <c r="N258">
        <v>9</v>
      </c>
      <c r="O258">
        <v>98</v>
      </c>
      <c r="P258">
        <v>72</v>
      </c>
      <c r="Q258">
        <v>68</v>
      </c>
      <c r="R258">
        <v>69</v>
      </c>
      <c r="S258">
        <v>336</v>
      </c>
      <c r="T258">
        <v>164</v>
      </c>
      <c r="U258">
        <v>172</v>
      </c>
      <c r="V258">
        <v>63</v>
      </c>
      <c r="W258">
        <v>64</v>
      </c>
      <c r="X258">
        <v>29</v>
      </c>
      <c r="Y258">
        <v>136</v>
      </c>
      <c r="Z258">
        <v>58</v>
      </c>
      <c r="AA258">
        <v>6</v>
      </c>
      <c r="AB258" t="s">
        <v>84</v>
      </c>
      <c r="AC258" t="s">
        <v>166</v>
      </c>
      <c r="AD258" t="s">
        <v>162</v>
      </c>
    </row>
    <row r="259" spans="1:30">
      <c r="A259" t="s">
        <v>220</v>
      </c>
      <c r="B259" s="16">
        <v>44440</v>
      </c>
      <c r="C259" s="394">
        <v>44441</v>
      </c>
      <c r="D259" t="s">
        <v>69</v>
      </c>
      <c r="E259">
        <v>7043</v>
      </c>
      <c r="F259">
        <v>481</v>
      </c>
      <c r="G259">
        <v>452</v>
      </c>
      <c r="H259">
        <v>339</v>
      </c>
      <c r="I259">
        <v>176</v>
      </c>
      <c r="J259">
        <v>19</v>
      </c>
      <c r="K259">
        <v>111</v>
      </c>
      <c r="L259">
        <v>72</v>
      </c>
      <c r="M259">
        <v>26</v>
      </c>
      <c r="N259">
        <v>39</v>
      </c>
      <c r="O259">
        <v>465</v>
      </c>
      <c r="P259">
        <v>289</v>
      </c>
      <c r="Q259">
        <v>265</v>
      </c>
      <c r="R259">
        <v>238</v>
      </c>
      <c r="S259">
        <v>1231</v>
      </c>
      <c r="T259">
        <v>734</v>
      </c>
      <c r="U259">
        <v>497</v>
      </c>
      <c r="V259">
        <v>144</v>
      </c>
      <c r="W259">
        <v>312</v>
      </c>
      <c r="X259">
        <v>151</v>
      </c>
      <c r="Y259">
        <v>499</v>
      </c>
      <c r="Z259">
        <v>210</v>
      </c>
      <c r="AA259">
        <v>15</v>
      </c>
      <c r="AB259" t="s">
        <v>74</v>
      </c>
      <c r="AC259" t="s">
        <v>154</v>
      </c>
      <c r="AD259" t="s">
        <v>150</v>
      </c>
    </row>
    <row r="260" spans="1:30">
      <c r="A260" t="s">
        <v>220</v>
      </c>
      <c r="B260" s="16">
        <v>44440</v>
      </c>
      <c r="C260" s="394">
        <v>44441</v>
      </c>
      <c r="D260" t="s">
        <v>65</v>
      </c>
      <c r="E260">
        <v>4952</v>
      </c>
      <c r="F260">
        <v>413</v>
      </c>
      <c r="G260">
        <v>387</v>
      </c>
      <c r="H260">
        <v>154</v>
      </c>
      <c r="I260">
        <v>271</v>
      </c>
      <c r="J260">
        <v>24</v>
      </c>
      <c r="K260">
        <v>79</v>
      </c>
      <c r="L260">
        <v>32</v>
      </c>
      <c r="M260">
        <v>14</v>
      </c>
      <c r="N260">
        <v>12</v>
      </c>
      <c r="O260">
        <v>318</v>
      </c>
      <c r="P260">
        <v>110</v>
      </c>
      <c r="Q260">
        <v>109</v>
      </c>
      <c r="R260">
        <v>108</v>
      </c>
      <c r="S260">
        <v>713</v>
      </c>
      <c r="T260">
        <v>294</v>
      </c>
      <c r="U260">
        <v>419</v>
      </c>
      <c r="V260">
        <v>53</v>
      </c>
      <c r="W260">
        <v>165</v>
      </c>
      <c r="X260">
        <v>85</v>
      </c>
      <c r="Y260">
        <v>277</v>
      </c>
      <c r="Z260">
        <v>106</v>
      </c>
      <c r="AA260">
        <v>31</v>
      </c>
      <c r="AB260" t="s">
        <v>67</v>
      </c>
      <c r="AC260" t="s">
        <v>148</v>
      </c>
      <c r="AD260" t="s">
        <v>145</v>
      </c>
    </row>
    <row r="261" spans="1:30">
      <c r="A261" t="s">
        <v>220</v>
      </c>
      <c r="B261" s="16">
        <v>44470</v>
      </c>
      <c r="C261" s="394">
        <v>44481</v>
      </c>
      <c r="D261" t="s">
        <v>94</v>
      </c>
      <c r="E261">
        <v>6182</v>
      </c>
      <c r="F261">
        <v>534</v>
      </c>
      <c r="G261">
        <v>505</v>
      </c>
      <c r="H261">
        <v>327</v>
      </c>
      <c r="I261">
        <v>322</v>
      </c>
      <c r="J261">
        <v>41</v>
      </c>
      <c r="K261">
        <v>82</v>
      </c>
      <c r="L261">
        <v>55</v>
      </c>
      <c r="M261">
        <v>37</v>
      </c>
      <c r="N261">
        <v>39</v>
      </c>
      <c r="O261">
        <v>318</v>
      </c>
      <c r="P261">
        <v>195</v>
      </c>
      <c r="Q261">
        <v>184</v>
      </c>
      <c r="R261">
        <v>189</v>
      </c>
      <c r="S261">
        <v>890</v>
      </c>
      <c r="T261">
        <v>385</v>
      </c>
      <c r="U261">
        <v>505</v>
      </c>
      <c r="V261">
        <v>97</v>
      </c>
      <c r="W261">
        <v>229</v>
      </c>
      <c r="X261">
        <v>103</v>
      </c>
      <c r="Y261">
        <v>324</v>
      </c>
      <c r="Z261">
        <v>135</v>
      </c>
      <c r="AA261">
        <v>14</v>
      </c>
      <c r="AB261" t="s">
        <v>97</v>
      </c>
      <c r="AC261" t="s">
        <v>179</v>
      </c>
      <c r="AD261" t="s">
        <v>176</v>
      </c>
    </row>
    <row r="262" spans="1:30">
      <c r="A262" t="s">
        <v>220</v>
      </c>
      <c r="B262" s="16">
        <v>44470</v>
      </c>
      <c r="C262" s="394">
        <v>44481</v>
      </c>
      <c r="D262" t="s">
        <v>61</v>
      </c>
      <c r="E262">
        <v>7178</v>
      </c>
      <c r="F262">
        <v>355</v>
      </c>
      <c r="G262">
        <v>325</v>
      </c>
      <c r="H262">
        <v>211</v>
      </c>
      <c r="I262">
        <v>224</v>
      </c>
      <c r="J262">
        <v>43</v>
      </c>
      <c r="K262">
        <v>106</v>
      </c>
      <c r="L262">
        <v>81</v>
      </c>
      <c r="M262">
        <v>16</v>
      </c>
      <c r="N262">
        <v>66</v>
      </c>
      <c r="O262">
        <v>362</v>
      </c>
      <c r="P262">
        <v>176</v>
      </c>
      <c r="Q262">
        <v>166</v>
      </c>
      <c r="R262">
        <v>172</v>
      </c>
      <c r="S262">
        <v>803</v>
      </c>
      <c r="T262">
        <v>426</v>
      </c>
      <c r="U262">
        <v>377</v>
      </c>
      <c r="V262">
        <v>100</v>
      </c>
      <c r="W262">
        <v>153</v>
      </c>
      <c r="X262">
        <v>77</v>
      </c>
      <c r="Y262">
        <v>268</v>
      </c>
      <c r="Z262">
        <v>142</v>
      </c>
      <c r="AA262">
        <v>24</v>
      </c>
      <c r="AB262" t="s">
        <v>67</v>
      </c>
      <c r="AC262" t="s">
        <v>148</v>
      </c>
      <c r="AD262" t="s">
        <v>143</v>
      </c>
    </row>
    <row r="263" spans="1:30">
      <c r="A263" t="s">
        <v>220</v>
      </c>
      <c r="B263" s="16">
        <v>44470</v>
      </c>
      <c r="C263" s="394">
        <v>44481</v>
      </c>
      <c r="D263" t="s">
        <v>98</v>
      </c>
      <c r="E263">
        <v>5249</v>
      </c>
      <c r="F263">
        <v>426</v>
      </c>
      <c r="G263">
        <v>404</v>
      </c>
      <c r="H263">
        <v>293</v>
      </c>
      <c r="I263">
        <v>273</v>
      </c>
      <c r="J263">
        <v>34</v>
      </c>
      <c r="K263">
        <v>55</v>
      </c>
      <c r="L263">
        <v>32</v>
      </c>
      <c r="M263">
        <v>24</v>
      </c>
      <c r="N263">
        <v>28</v>
      </c>
      <c r="O263">
        <v>243</v>
      </c>
      <c r="P263">
        <v>162</v>
      </c>
      <c r="Q263">
        <v>160</v>
      </c>
      <c r="R263">
        <v>158</v>
      </c>
      <c r="S263">
        <v>795</v>
      </c>
      <c r="T263">
        <v>331</v>
      </c>
      <c r="U263">
        <v>464</v>
      </c>
      <c r="V263">
        <v>142</v>
      </c>
      <c r="W263">
        <v>170</v>
      </c>
      <c r="X263">
        <v>99</v>
      </c>
      <c r="Y263">
        <v>294</v>
      </c>
      <c r="Z263">
        <v>134</v>
      </c>
      <c r="AA263">
        <v>23</v>
      </c>
      <c r="AB263" t="s">
        <v>103</v>
      </c>
      <c r="AC263" t="s">
        <v>185</v>
      </c>
      <c r="AD263" t="s">
        <v>180</v>
      </c>
    </row>
    <row r="264" spans="1:30">
      <c r="A264" t="s">
        <v>220</v>
      </c>
      <c r="B264" s="16">
        <v>44470</v>
      </c>
      <c r="C264" s="394">
        <v>44481</v>
      </c>
      <c r="D264" t="s">
        <v>75</v>
      </c>
      <c r="E264">
        <v>7724</v>
      </c>
      <c r="F264">
        <v>740</v>
      </c>
      <c r="G264">
        <v>701</v>
      </c>
      <c r="H264">
        <v>611</v>
      </c>
      <c r="I264">
        <v>304</v>
      </c>
      <c r="J264">
        <v>55</v>
      </c>
      <c r="K264">
        <v>86</v>
      </c>
      <c r="L264">
        <v>81</v>
      </c>
      <c r="M264">
        <v>78</v>
      </c>
      <c r="N264">
        <v>74</v>
      </c>
      <c r="O264">
        <v>337</v>
      </c>
      <c r="P264">
        <v>305</v>
      </c>
      <c r="Q264">
        <v>301</v>
      </c>
      <c r="R264">
        <v>302</v>
      </c>
      <c r="S264">
        <v>1135</v>
      </c>
      <c r="T264">
        <v>591</v>
      </c>
      <c r="U264">
        <v>544</v>
      </c>
      <c r="V264">
        <v>164</v>
      </c>
      <c r="W264">
        <v>353</v>
      </c>
      <c r="X264">
        <v>206</v>
      </c>
      <c r="Y264">
        <v>507</v>
      </c>
      <c r="Z264">
        <v>225</v>
      </c>
      <c r="AA264">
        <v>65</v>
      </c>
      <c r="AB264" t="s">
        <v>77</v>
      </c>
      <c r="AC264" t="s">
        <v>158</v>
      </c>
      <c r="AD264" t="s">
        <v>155</v>
      </c>
    </row>
    <row r="265" spans="1:30">
      <c r="A265" t="s">
        <v>220</v>
      </c>
      <c r="B265" s="16">
        <v>44470</v>
      </c>
      <c r="C265" s="394">
        <v>44481</v>
      </c>
      <c r="D265" t="s">
        <v>99</v>
      </c>
      <c r="E265">
        <v>6276</v>
      </c>
      <c r="F265">
        <v>559</v>
      </c>
      <c r="G265">
        <v>542</v>
      </c>
      <c r="H265">
        <v>476</v>
      </c>
      <c r="I265">
        <v>453</v>
      </c>
      <c r="J265">
        <v>131</v>
      </c>
      <c r="K265">
        <v>38</v>
      </c>
      <c r="L265">
        <v>13</v>
      </c>
      <c r="M265">
        <v>6</v>
      </c>
      <c r="N265">
        <v>11</v>
      </c>
      <c r="O265">
        <v>347</v>
      </c>
      <c r="P265">
        <v>302</v>
      </c>
      <c r="Q265">
        <v>298</v>
      </c>
      <c r="R265">
        <v>296</v>
      </c>
      <c r="S265">
        <v>713</v>
      </c>
      <c r="T265">
        <v>495</v>
      </c>
      <c r="U265">
        <v>218</v>
      </c>
      <c r="V265">
        <v>76</v>
      </c>
      <c r="W265">
        <v>199</v>
      </c>
      <c r="X265">
        <v>127</v>
      </c>
      <c r="Y265">
        <v>328</v>
      </c>
      <c r="Z265">
        <v>159</v>
      </c>
      <c r="AA265">
        <v>27</v>
      </c>
      <c r="AB265" t="s">
        <v>103</v>
      </c>
      <c r="AC265" t="s">
        <v>185</v>
      </c>
      <c r="AD265" t="s">
        <v>221</v>
      </c>
    </row>
    <row r="266" spans="1:30">
      <c r="A266" t="s">
        <v>220</v>
      </c>
      <c r="B266" s="16">
        <v>44470</v>
      </c>
      <c r="C266" s="394">
        <v>44481</v>
      </c>
      <c r="D266" t="s">
        <v>78</v>
      </c>
      <c r="E266">
        <v>11908</v>
      </c>
      <c r="F266">
        <v>789</v>
      </c>
      <c r="G266">
        <v>722</v>
      </c>
      <c r="H266">
        <v>385</v>
      </c>
      <c r="I266">
        <v>540</v>
      </c>
      <c r="J266">
        <v>51</v>
      </c>
      <c r="K266">
        <v>106</v>
      </c>
      <c r="L266">
        <v>89</v>
      </c>
      <c r="M266">
        <v>85</v>
      </c>
      <c r="N266">
        <v>86</v>
      </c>
      <c r="O266">
        <v>591</v>
      </c>
      <c r="P266">
        <v>208</v>
      </c>
      <c r="Q266">
        <v>194</v>
      </c>
      <c r="R266">
        <v>196</v>
      </c>
      <c r="S266">
        <v>1434</v>
      </c>
      <c r="T266">
        <v>485</v>
      </c>
      <c r="U266">
        <v>949</v>
      </c>
      <c r="V266">
        <v>82</v>
      </c>
      <c r="W266">
        <v>353</v>
      </c>
      <c r="X266">
        <v>166</v>
      </c>
      <c r="Y266">
        <v>567</v>
      </c>
      <c r="Z266">
        <v>228</v>
      </c>
      <c r="AA266">
        <v>44</v>
      </c>
      <c r="AB266" t="s">
        <v>84</v>
      </c>
      <c r="AC266" t="s">
        <v>166</v>
      </c>
      <c r="AD266" t="s">
        <v>159</v>
      </c>
    </row>
    <row r="267" spans="1:30">
      <c r="A267" t="s">
        <v>220</v>
      </c>
      <c r="B267" s="16">
        <v>44470</v>
      </c>
      <c r="C267" s="394">
        <v>44481</v>
      </c>
      <c r="D267" t="s">
        <v>76</v>
      </c>
      <c r="E267">
        <v>8443</v>
      </c>
      <c r="F267">
        <v>800</v>
      </c>
      <c r="G267">
        <v>773</v>
      </c>
      <c r="H267">
        <v>675</v>
      </c>
      <c r="I267">
        <v>452</v>
      </c>
      <c r="J267">
        <v>97</v>
      </c>
      <c r="K267">
        <v>46</v>
      </c>
      <c r="L267">
        <v>44</v>
      </c>
      <c r="M267">
        <v>42</v>
      </c>
      <c r="N267">
        <v>44</v>
      </c>
      <c r="O267">
        <v>436</v>
      </c>
      <c r="P267">
        <v>365</v>
      </c>
      <c r="Q267">
        <v>361</v>
      </c>
      <c r="R267">
        <v>355</v>
      </c>
      <c r="S267">
        <v>1096</v>
      </c>
      <c r="T267">
        <v>598</v>
      </c>
      <c r="U267">
        <v>498</v>
      </c>
      <c r="V267">
        <v>156</v>
      </c>
      <c r="W267">
        <v>347</v>
      </c>
      <c r="X267">
        <v>191</v>
      </c>
      <c r="Y267">
        <v>449</v>
      </c>
      <c r="Z267">
        <v>184</v>
      </c>
      <c r="AA267">
        <v>75</v>
      </c>
      <c r="AB267" t="s">
        <v>77</v>
      </c>
      <c r="AC267" t="s">
        <v>158</v>
      </c>
      <c r="AD267" t="s">
        <v>156</v>
      </c>
    </row>
    <row r="268" spans="1:30">
      <c r="A268" t="s">
        <v>220</v>
      </c>
      <c r="B268" s="16">
        <v>44470</v>
      </c>
      <c r="C268" s="394">
        <v>44481</v>
      </c>
      <c r="D268" t="s">
        <v>79</v>
      </c>
      <c r="E268">
        <v>8193</v>
      </c>
      <c r="F268">
        <v>400</v>
      </c>
      <c r="G268">
        <v>368</v>
      </c>
      <c r="H268">
        <v>262</v>
      </c>
      <c r="I268">
        <v>209</v>
      </c>
      <c r="J268">
        <v>14</v>
      </c>
      <c r="K268">
        <v>33</v>
      </c>
      <c r="L268">
        <v>25</v>
      </c>
      <c r="M268">
        <v>21</v>
      </c>
      <c r="N268">
        <v>24</v>
      </c>
      <c r="O268">
        <v>315</v>
      </c>
      <c r="P268">
        <v>222</v>
      </c>
      <c r="Q268">
        <v>218</v>
      </c>
      <c r="R268">
        <v>218</v>
      </c>
      <c r="S268">
        <v>753</v>
      </c>
      <c r="T268">
        <v>279</v>
      </c>
      <c r="U268">
        <v>474</v>
      </c>
      <c r="V268">
        <v>103</v>
      </c>
      <c r="W268">
        <v>146</v>
      </c>
      <c r="X268">
        <v>83</v>
      </c>
      <c r="Y268">
        <v>255</v>
      </c>
      <c r="Z268">
        <v>136</v>
      </c>
      <c r="AA268">
        <v>24</v>
      </c>
      <c r="AB268" t="s">
        <v>84</v>
      </c>
      <c r="AC268" t="s">
        <v>166</v>
      </c>
      <c r="AD268" t="s">
        <v>160</v>
      </c>
    </row>
    <row r="269" spans="1:30">
      <c r="A269" t="s">
        <v>220</v>
      </c>
      <c r="B269" s="16">
        <v>44470</v>
      </c>
      <c r="C269" s="394">
        <v>44481</v>
      </c>
      <c r="D269" t="s">
        <v>86</v>
      </c>
      <c r="E269">
        <v>1678</v>
      </c>
      <c r="F269">
        <v>137</v>
      </c>
      <c r="G269">
        <v>133</v>
      </c>
      <c r="H269">
        <v>83</v>
      </c>
      <c r="I269">
        <v>110</v>
      </c>
      <c r="J269">
        <v>8</v>
      </c>
      <c r="K269">
        <v>19</v>
      </c>
      <c r="L269">
        <v>15</v>
      </c>
      <c r="M269">
        <v>12</v>
      </c>
      <c r="N269">
        <v>9</v>
      </c>
      <c r="O269">
        <v>85</v>
      </c>
      <c r="P269">
        <v>63</v>
      </c>
      <c r="Q269">
        <v>63</v>
      </c>
      <c r="R269">
        <v>63</v>
      </c>
      <c r="S269">
        <v>267</v>
      </c>
      <c r="T269">
        <v>101</v>
      </c>
      <c r="U269">
        <v>166</v>
      </c>
      <c r="V269">
        <v>31</v>
      </c>
      <c r="W269">
        <v>71</v>
      </c>
      <c r="X269">
        <v>32</v>
      </c>
      <c r="Y269">
        <v>78</v>
      </c>
      <c r="Z269">
        <v>23</v>
      </c>
      <c r="AA269">
        <v>10</v>
      </c>
      <c r="AB269" t="s">
        <v>91</v>
      </c>
      <c r="AC269" t="s">
        <v>173</v>
      </c>
      <c r="AD269" t="s">
        <v>168</v>
      </c>
    </row>
    <row r="270" spans="1:30">
      <c r="A270" t="s">
        <v>220</v>
      </c>
      <c r="B270" s="16">
        <v>44470</v>
      </c>
      <c r="C270" s="394">
        <v>44481</v>
      </c>
      <c r="D270" t="s">
        <v>102</v>
      </c>
      <c r="E270">
        <v>12795</v>
      </c>
      <c r="F270">
        <v>788</v>
      </c>
      <c r="G270">
        <v>729</v>
      </c>
      <c r="H270">
        <v>446</v>
      </c>
      <c r="I270">
        <v>568</v>
      </c>
      <c r="J270">
        <v>70</v>
      </c>
      <c r="K270">
        <v>107</v>
      </c>
      <c r="L270">
        <v>52</v>
      </c>
      <c r="M270">
        <v>37</v>
      </c>
      <c r="N270">
        <v>47</v>
      </c>
      <c r="O270">
        <v>561</v>
      </c>
      <c r="P270">
        <v>111</v>
      </c>
      <c r="Q270">
        <v>87</v>
      </c>
      <c r="R270">
        <v>87</v>
      </c>
      <c r="S270">
        <v>1448</v>
      </c>
      <c r="T270">
        <v>747</v>
      </c>
      <c r="U270">
        <v>701</v>
      </c>
      <c r="V270">
        <v>135</v>
      </c>
      <c r="W270">
        <v>326</v>
      </c>
      <c r="X270">
        <v>182</v>
      </c>
      <c r="Y270">
        <v>506</v>
      </c>
      <c r="Z270">
        <v>257</v>
      </c>
      <c r="AA270">
        <v>31</v>
      </c>
      <c r="AB270" t="s">
        <v>103</v>
      </c>
      <c r="AC270" t="s">
        <v>185</v>
      </c>
      <c r="AD270" t="s">
        <v>184</v>
      </c>
    </row>
    <row r="271" spans="1:30">
      <c r="A271" t="s">
        <v>220</v>
      </c>
      <c r="B271" s="16">
        <v>44470</v>
      </c>
      <c r="C271" s="394">
        <v>44481</v>
      </c>
      <c r="D271" t="s">
        <v>100</v>
      </c>
      <c r="E271">
        <v>5868</v>
      </c>
      <c r="F271">
        <v>469</v>
      </c>
      <c r="G271">
        <v>439</v>
      </c>
      <c r="H271">
        <v>164</v>
      </c>
      <c r="I271">
        <v>306</v>
      </c>
      <c r="J271">
        <v>31</v>
      </c>
      <c r="K271">
        <v>64</v>
      </c>
      <c r="L271">
        <v>22</v>
      </c>
      <c r="M271">
        <v>4</v>
      </c>
      <c r="N271">
        <v>7</v>
      </c>
      <c r="O271">
        <v>268</v>
      </c>
      <c r="P271">
        <v>124</v>
      </c>
      <c r="Q271">
        <v>94</v>
      </c>
      <c r="R271">
        <v>85</v>
      </c>
      <c r="S271">
        <v>813</v>
      </c>
      <c r="T271">
        <v>282</v>
      </c>
      <c r="U271">
        <v>531</v>
      </c>
      <c r="V271">
        <v>88</v>
      </c>
      <c r="W271">
        <v>204</v>
      </c>
      <c r="X271">
        <v>115</v>
      </c>
      <c r="Y271">
        <v>300</v>
      </c>
      <c r="Z271">
        <v>162</v>
      </c>
      <c r="AA271">
        <v>44</v>
      </c>
      <c r="AB271" t="s">
        <v>103</v>
      </c>
      <c r="AC271" t="s">
        <v>185</v>
      </c>
      <c r="AD271" t="s">
        <v>182</v>
      </c>
    </row>
    <row r="272" spans="1:30">
      <c r="A272" t="s">
        <v>220</v>
      </c>
      <c r="B272" s="16">
        <v>44470</v>
      </c>
      <c r="C272" s="394">
        <v>44481</v>
      </c>
      <c r="D272" t="s">
        <v>71</v>
      </c>
      <c r="E272">
        <v>5707</v>
      </c>
      <c r="F272">
        <v>347</v>
      </c>
      <c r="G272">
        <v>320</v>
      </c>
      <c r="H272">
        <v>140</v>
      </c>
      <c r="I272">
        <v>139</v>
      </c>
      <c r="J272">
        <v>6</v>
      </c>
      <c r="K272">
        <v>73</v>
      </c>
      <c r="L272">
        <v>42</v>
      </c>
      <c r="M272">
        <v>6</v>
      </c>
      <c r="N272">
        <v>30</v>
      </c>
      <c r="O272">
        <v>325</v>
      </c>
      <c r="P272">
        <v>152</v>
      </c>
      <c r="Q272">
        <v>149</v>
      </c>
      <c r="R272">
        <v>146</v>
      </c>
      <c r="S272">
        <v>1091</v>
      </c>
      <c r="T272">
        <v>435</v>
      </c>
      <c r="U272">
        <v>656</v>
      </c>
      <c r="V272">
        <v>34</v>
      </c>
      <c r="W272">
        <v>279</v>
      </c>
      <c r="X272">
        <v>126</v>
      </c>
      <c r="Y272">
        <v>481</v>
      </c>
      <c r="Z272">
        <v>271</v>
      </c>
      <c r="AA272">
        <v>7</v>
      </c>
      <c r="AB272" t="s">
        <v>74</v>
      </c>
      <c r="AC272" t="s">
        <v>154</v>
      </c>
      <c r="AD272" t="s">
        <v>152</v>
      </c>
    </row>
    <row r="273" spans="1:30">
      <c r="A273" t="s">
        <v>220</v>
      </c>
      <c r="B273" s="16">
        <v>44470</v>
      </c>
      <c r="C273" s="394">
        <v>44481</v>
      </c>
      <c r="D273" t="s">
        <v>95</v>
      </c>
      <c r="E273">
        <v>4526</v>
      </c>
      <c r="F273">
        <v>308</v>
      </c>
      <c r="G273">
        <v>296</v>
      </c>
      <c r="H273">
        <v>170</v>
      </c>
      <c r="I273">
        <v>113</v>
      </c>
      <c r="J273">
        <v>3</v>
      </c>
      <c r="K273">
        <v>34</v>
      </c>
      <c r="L273">
        <v>20</v>
      </c>
      <c r="M273">
        <v>7</v>
      </c>
      <c r="N273">
        <v>16</v>
      </c>
      <c r="O273">
        <v>206</v>
      </c>
      <c r="P273">
        <v>91</v>
      </c>
      <c r="Q273">
        <v>90</v>
      </c>
      <c r="R273">
        <v>90</v>
      </c>
      <c r="S273">
        <v>482</v>
      </c>
      <c r="T273">
        <v>199</v>
      </c>
      <c r="U273">
        <v>283</v>
      </c>
      <c r="V273">
        <v>26</v>
      </c>
      <c r="W273">
        <v>132</v>
      </c>
      <c r="X273">
        <v>74</v>
      </c>
      <c r="Y273">
        <v>175</v>
      </c>
      <c r="Z273">
        <v>89</v>
      </c>
      <c r="AA273">
        <v>9</v>
      </c>
      <c r="AB273" t="s">
        <v>97</v>
      </c>
      <c r="AC273" t="s">
        <v>179</v>
      </c>
      <c r="AD273" t="s">
        <v>177</v>
      </c>
    </row>
    <row r="274" spans="1:30">
      <c r="A274" t="s">
        <v>220</v>
      </c>
      <c r="B274" s="16">
        <v>44470</v>
      </c>
      <c r="C274" s="394">
        <v>44481</v>
      </c>
      <c r="D274" t="s">
        <v>83</v>
      </c>
      <c r="E274">
        <v>4056</v>
      </c>
      <c r="F274">
        <v>367</v>
      </c>
      <c r="G274">
        <v>349</v>
      </c>
      <c r="H274">
        <v>85</v>
      </c>
      <c r="I274">
        <v>149</v>
      </c>
      <c r="J274">
        <v>8</v>
      </c>
      <c r="K274">
        <v>36</v>
      </c>
      <c r="L274">
        <v>10</v>
      </c>
      <c r="M274">
        <v>0</v>
      </c>
      <c r="N274">
        <v>0</v>
      </c>
      <c r="O274">
        <v>208</v>
      </c>
      <c r="P274">
        <v>118</v>
      </c>
      <c r="Q274">
        <v>110</v>
      </c>
      <c r="R274">
        <v>107</v>
      </c>
      <c r="S274">
        <v>668</v>
      </c>
      <c r="T274">
        <v>219</v>
      </c>
      <c r="U274">
        <v>449</v>
      </c>
      <c r="V274">
        <v>35</v>
      </c>
      <c r="W274">
        <v>131</v>
      </c>
      <c r="X274">
        <v>63</v>
      </c>
      <c r="Y274">
        <v>210</v>
      </c>
      <c r="Z274">
        <v>118</v>
      </c>
      <c r="AA274">
        <v>18</v>
      </c>
      <c r="AB274" t="s">
        <v>84</v>
      </c>
      <c r="AC274" t="s">
        <v>166</v>
      </c>
      <c r="AD274" t="s">
        <v>164</v>
      </c>
    </row>
    <row r="275" spans="1:30">
      <c r="A275" t="s">
        <v>220</v>
      </c>
      <c r="B275" s="16">
        <v>44470</v>
      </c>
      <c r="C275" s="394">
        <v>44481</v>
      </c>
      <c r="D275" t="s">
        <v>92</v>
      </c>
      <c r="E275">
        <v>11516</v>
      </c>
      <c r="F275">
        <v>657</v>
      </c>
      <c r="G275">
        <v>622</v>
      </c>
      <c r="H275">
        <v>448</v>
      </c>
      <c r="I275">
        <v>279</v>
      </c>
      <c r="J275">
        <v>32</v>
      </c>
      <c r="K275">
        <v>88</v>
      </c>
      <c r="L275">
        <v>49</v>
      </c>
      <c r="M275">
        <v>31</v>
      </c>
      <c r="N275">
        <v>33</v>
      </c>
      <c r="O275">
        <v>657</v>
      </c>
      <c r="P275">
        <v>450</v>
      </c>
      <c r="Q275">
        <v>431</v>
      </c>
      <c r="R275">
        <v>439</v>
      </c>
      <c r="S275">
        <v>1265</v>
      </c>
      <c r="T275">
        <v>680</v>
      </c>
      <c r="U275">
        <v>585</v>
      </c>
      <c r="V275">
        <v>176</v>
      </c>
      <c r="W275">
        <v>307</v>
      </c>
      <c r="X275">
        <v>148</v>
      </c>
      <c r="Y275">
        <v>432</v>
      </c>
      <c r="Z275">
        <v>189</v>
      </c>
      <c r="AA275">
        <v>8</v>
      </c>
      <c r="AB275" t="s">
        <v>97</v>
      </c>
      <c r="AC275" t="s">
        <v>179</v>
      </c>
      <c r="AD275" t="s">
        <v>174</v>
      </c>
    </row>
    <row r="276" spans="1:30">
      <c r="A276" t="s">
        <v>220</v>
      </c>
      <c r="B276" s="16">
        <v>44470</v>
      </c>
      <c r="C276" s="394">
        <v>44481</v>
      </c>
      <c r="D276" t="s">
        <v>72</v>
      </c>
      <c r="E276">
        <v>5910</v>
      </c>
      <c r="F276">
        <v>353</v>
      </c>
      <c r="G276">
        <v>326</v>
      </c>
      <c r="H276">
        <v>291</v>
      </c>
      <c r="I276">
        <v>110</v>
      </c>
      <c r="J276">
        <v>22</v>
      </c>
      <c r="K276">
        <v>65</v>
      </c>
      <c r="L276">
        <v>41</v>
      </c>
      <c r="M276">
        <v>33</v>
      </c>
      <c r="N276">
        <v>4</v>
      </c>
      <c r="O276">
        <v>381</v>
      </c>
      <c r="P276">
        <v>300</v>
      </c>
      <c r="Q276">
        <v>291</v>
      </c>
      <c r="R276">
        <v>280</v>
      </c>
      <c r="S276">
        <v>818</v>
      </c>
      <c r="T276">
        <v>594</v>
      </c>
      <c r="U276">
        <v>224</v>
      </c>
      <c r="V276">
        <v>76</v>
      </c>
      <c r="W276">
        <v>236</v>
      </c>
      <c r="X276">
        <v>105</v>
      </c>
      <c r="Y276">
        <v>378</v>
      </c>
      <c r="Z276">
        <v>192</v>
      </c>
      <c r="AA276">
        <v>12</v>
      </c>
      <c r="AB276" t="s">
        <v>74</v>
      </c>
      <c r="AC276" t="s">
        <v>154</v>
      </c>
      <c r="AD276" t="s">
        <v>153</v>
      </c>
    </row>
    <row r="277" spans="1:30">
      <c r="A277" t="s">
        <v>220</v>
      </c>
      <c r="B277" s="16">
        <v>44470</v>
      </c>
      <c r="C277" s="394">
        <v>44481</v>
      </c>
      <c r="D277" t="s">
        <v>85</v>
      </c>
      <c r="E277">
        <v>5331</v>
      </c>
      <c r="F277">
        <v>316</v>
      </c>
      <c r="G277">
        <v>299</v>
      </c>
      <c r="H277">
        <v>218</v>
      </c>
      <c r="I277">
        <v>240</v>
      </c>
      <c r="J277">
        <v>55</v>
      </c>
      <c r="K277">
        <v>31</v>
      </c>
      <c r="L277">
        <v>23</v>
      </c>
      <c r="M277">
        <v>19</v>
      </c>
      <c r="N277">
        <v>22</v>
      </c>
      <c r="O277">
        <v>269</v>
      </c>
      <c r="P277">
        <v>181</v>
      </c>
      <c r="Q277">
        <v>180</v>
      </c>
      <c r="R277">
        <v>175</v>
      </c>
      <c r="S277">
        <v>602</v>
      </c>
      <c r="T277">
        <v>277</v>
      </c>
      <c r="U277">
        <v>325</v>
      </c>
      <c r="V277">
        <v>43</v>
      </c>
      <c r="W277">
        <v>156</v>
      </c>
      <c r="X277">
        <v>65</v>
      </c>
      <c r="Y277">
        <v>282</v>
      </c>
      <c r="Z277">
        <v>123</v>
      </c>
      <c r="AA277">
        <v>11</v>
      </c>
      <c r="AB277" t="s">
        <v>91</v>
      </c>
      <c r="AC277" t="s">
        <v>173</v>
      </c>
      <c r="AD277" t="s">
        <v>167</v>
      </c>
    </row>
    <row r="278" spans="1:30">
      <c r="A278" t="s">
        <v>220</v>
      </c>
      <c r="B278" s="16">
        <v>44470</v>
      </c>
      <c r="C278" s="394">
        <v>44481</v>
      </c>
      <c r="D278" t="s">
        <v>88</v>
      </c>
      <c r="E278">
        <v>4646</v>
      </c>
      <c r="F278">
        <v>426</v>
      </c>
      <c r="G278">
        <v>406</v>
      </c>
      <c r="H278">
        <v>268</v>
      </c>
      <c r="I278">
        <v>302</v>
      </c>
      <c r="J278">
        <v>40</v>
      </c>
      <c r="K278">
        <v>56</v>
      </c>
      <c r="L278">
        <v>30</v>
      </c>
      <c r="M278">
        <v>24</v>
      </c>
      <c r="N278">
        <v>24</v>
      </c>
      <c r="O278">
        <v>244</v>
      </c>
      <c r="P278">
        <v>134</v>
      </c>
      <c r="Q278">
        <v>131</v>
      </c>
      <c r="R278">
        <v>127</v>
      </c>
      <c r="S278">
        <v>689</v>
      </c>
      <c r="T278">
        <v>291</v>
      </c>
      <c r="U278">
        <v>398</v>
      </c>
      <c r="V278">
        <v>144</v>
      </c>
      <c r="W278">
        <v>201</v>
      </c>
      <c r="X278">
        <v>88</v>
      </c>
      <c r="Y278">
        <v>287</v>
      </c>
      <c r="Z278">
        <v>149</v>
      </c>
      <c r="AA278">
        <v>2</v>
      </c>
      <c r="AB278" t="s">
        <v>91</v>
      </c>
      <c r="AC278" t="s">
        <v>173</v>
      </c>
      <c r="AD278" t="s">
        <v>170</v>
      </c>
    </row>
    <row r="279" spans="1:30">
      <c r="A279" t="s">
        <v>220</v>
      </c>
      <c r="B279" s="16">
        <v>44470</v>
      </c>
      <c r="C279" s="394">
        <v>44481</v>
      </c>
      <c r="D279" t="s">
        <v>64</v>
      </c>
      <c r="E279">
        <v>5308</v>
      </c>
      <c r="F279">
        <v>298</v>
      </c>
      <c r="G279">
        <v>283</v>
      </c>
      <c r="H279">
        <v>125</v>
      </c>
      <c r="I279">
        <v>207</v>
      </c>
      <c r="J279">
        <v>19</v>
      </c>
      <c r="K279">
        <v>25</v>
      </c>
      <c r="L279">
        <v>12</v>
      </c>
      <c r="M279">
        <v>3</v>
      </c>
      <c r="N279">
        <v>6</v>
      </c>
      <c r="O279">
        <v>191</v>
      </c>
      <c r="P279">
        <v>94</v>
      </c>
      <c r="Q279">
        <v>81</v>
      </c>
      <c r="R279">
        <v>74</v>
      </c>
      <c r="S279">
        <v>540</v>
      </c>
      <c r="T279">
        <v>238</v>
      </c>
      <c r="U279">
        <v>302</v>
      </c>
      <c r="V279">
        <v>55</v>
      </c>
      <c r="W279">
        <v>115</v>
      </c>
      <c r="X279">
        <v>50</v>
      </c>
      <c r="Y279">
        <v>167</v>
      </c>
      <c r="Z279">
        <v>86</v>
      </c>
      <c r="AA279">
        <v>13</v>
      </c>
      <c r="AB279" t="s">
        <v>67</v>
      </c>
      <c r="AC279" t="s">
        <v>148</v>
      </c>
      <c r="AD279" t="s">
        <v>144</v>
      </c>
    </row>
    <row r="280" spans="1:30">
      <c r="A280" t="s">
        <v>220</v>
      </c>
      <c r="B280" s="16">
        <v>44470</v>
      </c>
      <c r="C280" s="394">
        <v>44481</v>
      </c>
      <c r="D280" t="s">
        <v>70</v>
      </c>
      <c r="E280">
        <v>10642</v>
      </c>
      <c r="F280">
        <v>814</v>
      </c>
      <c r="G280">
        <v>767</v>
      </c>
      <c r="H280">
        <v>407</v>
      </c>
      <c r="I280">
        <v>231</v>
      </c>
      <c r="J280">
        <v>15</v>
      </c>
      <c r="K280">
        <v>229</v>
      </c>
      <c r="L280">
        <v>181</v>
      </c>
      <c r="M280">
        <v>61</v>
      </c>
      <c r="N280">
        <v>150</v>
      </c>
      <c r="O280">
        <v>706</v>
      </c>
      <c r="P280">
        <v>389</v>
      </c>
      <c r="Q280">
        <v>374</v>
      </c>
      <c r="R280">
        <v>376</v>
      </c>
      <c r="S280">
        <v>1821</v>
      </c>
      <c r="T280">
        <v>896</v>
      </c>
      <c r="U280">
        <v>925</v>
      </c>
      <c r="V280">
        <v>235</v>
      </c>
      <c r="W280">
        <v>595</v>
      </c>
      <c r="X280">
        <v>263</v>
      </c>
      <c r="Y280">
        <v>841</v>
      </c>
      <c r="Z280">
        <v>400</v>
      </c>
      <c r="AA280">
        <v>82</v>
      </c>
      <c r="AB280" t="s">
        <v>74</v>
      </c>
      <c r="AC280" t="s">
        <v>154</v>
      </c>
      <c r="AD280" t="s">
        <v>151</v>
      </c>
    </row>
    <row r="281" spans="1:30">
      <c r="A281" t="s">
        <v>220</v>
      </c>
      <c r="B281" s="16">
        <v>44470</v>
      </c>
      <c r="C281" s="394">
        <v>44481</v>
      </c>
      <c r="D281" t="s">
        <v>96</v>
      </c>
      <c r="E281">
        <v>7310</v>
      </c>
      <c r="F281">
        <v>526</v>
      </c>
      <c r="G281">
        <v>505</v>
      </c>
      <c r="H281">
        <v>217</v>
      </c>
      <c r="I281">
        <v>352</v>
      </c>
      <c r="J281">
        <v>27</v>
      </c>
      <c r="K281">
        <v>94</v>
      </c>
      <c r="L281">
        <v>61</v>
      </c>
      <c r="M281">
        <v>49</v>
      </c>
      <c r="N281">
        <v>57</v>
      </c>
      <c r="O281">
        <v>367</v>
      </c>
      <c r="P281">
        <v>192</v>
      </c>
      <c r="Q281">
        <v>173</v>
      </c>
      <c r="R281">
        <v>167</v>
      </c>
      <c r="S281">
        <v>1104</v>
      </c>
      <c r="T281">
        <v>421</v>
      </c>
      <c r="U281">
        <v>683</v>
      </c>
      <c r="V281">
        <v>101</v>
      </c>
      <c r="W281">
        <v>260</v>
      </c>
      <c r="X281">
        <v>124</v>
      </c>
      <c r="Y281">
        <v>407</v>
      </c>
      <c r="Z281">
        <v>178</v>
      </c>
      <c r="AA281">
        <v>13</v>
      </c>
      <c r="AB281" t="s">
        <v>97</v>
      </c>
      <c r="AC281" t="s">
        <v>179</v>
      </c>
      <c r="AD281" t="s">
        <v>178</v>
      </c>
    </row>
    <row r="282" spans="1:30">
      <c r="A282" t="s">
        <v>220</v>
      </c>
      <c r="B282" s="16">
        <v>44470</v>
      </c>
      <c r="C282" s="394">
        <v>44481</v>
      </c>
      <c r="D282" t="s">
        <v>82</v>
      </c>
      <c r="E282">
        <v>6335</v>
      </c>
      <c r="F282">
        <v>504</v>
      </c>
      <c r="G282">
        <v>475</v>
      </c>
      <c r="H282">
        <v>289</v>
      </c>
      <c r="I282">
        <v>380</v>
      </c>
      <c r="J282">
        <v>42</v>
      </c>
      <c r="K282">
        <v>58</v>
      </c>
      <c r="L282">
        <v>42</v>
      </c>
      <c r="M282">
        <v>37</v>
      </c>
      <c r="N282">
        <v>39</v>
      </c>
      <c r="O282">
        <v>339</v>
      </c>
      <c r="P282">
        <v>224</v>
      </c>
      <c r="Q282">
        <v>222</v>
      </c>
      <c r="R282">
        <v>219</v>
      </c>
      <c r="S282">
        <v>694</v>
      </c>
      <c r="T282">
        <v>322</v>
      </c>
      <c r="U282">
        <v>372</v>
      </c>
      <c r="V282">
        <v>94</v>
      </c>
      <c r="W282">
        <v>190</v>
      </c>
      <c r="X282">
        <v>90</v>
      </c>
      <c r="Y282">
        <v>314</v>
      </c>
      <c r="Z282">
        <v>146</v>
      </c>
      <c r="AA282">
        <v>24</v>
      </c>
      <c r="AB282" t="s">
        <v>84</v>
      </c>
      <c r="AC282" t="s">
        <v>166</v>
      </c>
      <c r="AD282" t="s">
        <v>163</v>
      </c>
    </row>
    <row r="283" spans="1:30">
      <c r="A283" t="s">
        <v>220</v>
      </c>
      <c r="B283" s="16">
        <v>44470</v>
      </c>
      <c r="C283" s="394">
        <v>44481</v>
      </c>
      <c r="D283" t="s">
        <v>54</v>
      </c>
      <c r="E283">
        <v>6501</v>
      </c>
      <c r="F283">
        <v>414</v>
      </c>
      <c r="G283">
        <v>376</v>
      </c>
      <c r="H283">
        <v>216</v>
      </c>
      <c r="I283">
        <v>276</v>
      </c>
      <c r="J283">
        <v>28</v>
      </c>
      <c r="K283">
        <v>98</v>
      </c>
      <c r="L283">
        <v>78</v>
      </c>
      <c r="M283">
        <v>47</v>
      </c>
      <c r="N283">
        <v>62</v>
      </c>
      <c r="O283">
        <v>323</v>
      </c>
      <c r="P283">
        <v>240</v>
      </c>
      <c r="Q283">
        <v>227</v>
      </c>
      <c r="R283">
        <v>221</v>
      </c>
      <c r="S283">
        <v>864</v>
      </c>
      <c r="T283">
        <v>465</v>
      </c>
      <c r="U283">
        <v>399</v>
      </c>
      <c r="V283">
        <v>27</v>
      </c>
      <c r="W283">
        <v>262</v>
      </c>
      <c r="X283">
        <v>86</v>
      </c>
      <c r="Y283">
        <v>391</v>
      </c>
      <c r="Z283">
        <v>204</v>
      </c>
      <c r="AA283">
        <v>39</v>
      </c>
      <c r="AB283" t="s">
        <v>67</v>
      </c>
      <c r="AC283" t="s">
        <v>148</v>
      </c>
      <c r="AD283" t="s">
        <v>142</v>
      </c>
    </row>
    <row r="284" spans="1:30">
      <c r="A284" t="s">
        <v>220</v>
      </c>
      <c r="B284" s="16">
        <v>44470</v>
      </c>
      <c r="C284" s="394">
        <v>44481</v>
      </c>
      <c r="D284" t="s">
        <v>89</v>
      </c>
      <c r="E284">
        <v>11681</v>
      </c>
      <c r="F284">
        <v>866</v>
      </c>
      <c r="G284">
        <v>828</v>
      </c>
      <c r="H284">
        <v>521</v>
      </c>
      <c r="I284">
        <v>421</v>
      </c>
      <c r="J284">
        <v>39</v>
      </c>
      <c r="K284">
        <v>119</v>
      </c>
      <c r="L284">
        <v>95</v>
      </c>
      <c r="M284">
        <v>81</v>
      </c>
      <c r="N284">
        <v>88</v>
      </c>
      <c r="O284">
        <v>558</v>
      </c>
      <c r="P284">
        <v>420</v>
      </c>
      <c r="Q284">
        <v>406</v>
      </c>
      <c r="R284">
        <v>408</v>
      </c>
      <c r="S284">
        <v>1784</v>
      </c>
      <c r="T284">
        <v>964</v>
      </c>
      <c r="U284">
        <v>820</v>
      </c>
      <c r="V284">
        <v>307</v>
      </c>
      <c r="W284">
        <v>314</v>
      </c>
      <c r="X284">
        <v>171</v>
      </c>
      <c r="Y284">
        <v>408</v>
      </c>
      <c r="Z284">
        <v>216</v>
      </c>
      <c r="AA284">
        <v>24</v>
      </c>
      <c r="AB284" t="s">
        <v>91</v>
      </c>
      <c r="AC284" t="s">
        <v>173</v>
      </c>
      <c r="AD284" t="s">
        <v>171</v>
      </c>
    </row>
    <row r="285" spans="1:30">
      <c r="A285" t="s">
        <v>220</v>
      </c>
      <c r="B285" s="16">
        <v>44470</v>
      </c>
      <c r="C285" s="394">
        <v>44481</v>
      </c>
      <c r="D285" t="s">
        <v>101</v>
      </c>
      <c r="E285">
        <v>4508</v>
      </c>
      <c r="F285">
        <v>237</v>
      </c>
      <c r="G285">
        <v>221</v>
      </c>
      <c r="H285">
        <v>211</v>
      </c>
      <c r="I285">
        <v>142</v>
      </c>
      <c r="J285">
        <v>46</v>
      </c>
      <c r="K285">
        <v>30</v>
      </c>
      <c r="L285">
        <v>26</v>
      </c>
      <c r="M285">
        <v>26</v>
      </c>
      <c r="N285">
        <v>23</v>
      </c>
      <c r="O285">
        <v>207</v>
      </c>
      <c r="P285">
        <v>176</v>
      </c>
      <c r="Q285">
        <v>173</v>
      </c>
      <c r="R285">
        <v>168</v>
      </c>
      <c r="S285">
        <v>457</v>
      </c>
      <c r="T285">
        <v>267</v>
      </c>
      <c r="U285">
        <v>190</v>
      </c>
      <c r="V285">
        <v>34</v>
      </c>
      <c r="W285">
        <v>79</v>
      </c>
      <c r="X285">
        <v>45</v>
      </c>
      <c r="Y285">
        <v>130</v>
      </c>
      <c r="Z285">
        <v>72</v>
      </c>
      <c r="AA285">
        <v>15</v>
      </c>
      <c r="AB285" t="s">
        <v>103</v>
      </c>
      <c r="AC285" t="s">
        <v>185</v>
      </c>
      <c r="AD285" t="s">
        <v>183</v>
      </c>
    </row>
    <row r="286" spans="1:30">
      <c r="A286" t="s">
        <v>220</v>
      </c>
      <c r="B286" s="16">
        <v>44470</v>
      </c>
      <c r="C286" s="394">
        <v>44481</v>
      </c>
      <c r="D286" t="s">
        <v>66</v>
      </c>
      <c r="E286">
        <v>3235</v>
      </c>
      <c r="F286">
        <v>123</v>
      </c>
      <c r="G286">
        <v>111</v>
      </c>
      <c r="H286">
        <v>73</v>
      </c>
      <c r="I286">
        <v>68</v>
      </c>
      <c r="J286">
        <v>10</v>
      </c>
      <c r="K286">
        <v>43</v>
      </c>
      <c r="L286">
        <v>30</v>
      </c>
      <c r="M286">
        <v>7</v>
      </c>
      <c r="N286">
        <v>4</v>
      </c>
      <c r="O286">
        <v>186</v>
      </c>
      <c r="P286">
        <v>124</v>
      </c>
      <c r="Q286">
        <v>123</v>
      </c>
      <c r="R286">
        <v>122</v>
      </c>
      <c r="S286">
        <v>294</v>
      </c>
      <c r="T286">
        <v>200</v>
      </c>
      <c r="U286">
        <v>94</v>
      </c>
      <c r="V286">
        <v>25</v>
      </c>
      <c r="W286">
        <v>75</v>
      </c>
      <c r="X286">
        <v>34</v>
      </c>
      <c r="Y286">
        <v>111</v>
      </c>
      <c r="Z286">
        <v>53</v>
      </c>
      <c r="AA286">
        <v>18</v>
      </c>
      <c r="AB286" t="s">
        <v>67</v>
      </c>
      <c r="AC286" t="s">
        <v>148</v>
      </c>
      <c r="AD286" t="s">
        <v>146</v>
      </c>
    </row>
    <row r="287" spans="1:30">
      <c r="A287" t="s">
        <v>220</v>
      </c>
      <c r="B287" s="16">
        <v>44470</v>
      </c>
      <c r="C287" s="394">
        <v>44481</v>
      </c>
      <c r="D287" t="s">
        <v>80</v>
      </c>
      <c r="E287">
        <v>5544</v>
      </c>
      <c r="F287">
        <v>357</v>
      </c>
      <c r="G287">
        <v>343</v>
      </c>
      <c r="H287">
        <v>283</v>
      </c>
      <c r="I287">
        <v>85</v>
      </c>
      <c r="J287">
        <v>5</v>
      </c>
      <c r="K287">
        <v>24</v>
      </c>
      <c r="L287">
        <v>15</v>
      </c>
      <c r="M287">
        <v>14</v>
      </c>
      <c r="N287">
        <v>15</v>
      </c>
      <c r="O287">
        <v>232</v>
      </c>
      <c r="P287">
        <v>215</v>
      </c>
      <c r="Q287">
        <v>213</v>
      </c>
      <c r="R287">
        <v>211</v>
      </c>
      <c r="S287">
        <v>597</v>
      </c>
      <c r="T287">
        <v>340</v>
      </c>
      <c r="U287">
        <v>257</v>
      </c>
      <c r="V287">
        <v>123</v>
      </c>
      <c r="W287">
        <v>141</v>
      </c>
      <c r="X287">
        <v>83</v>
      </c>
      <c r="Y287">
        <v>204</v>
      </c>
      <c r="Z287">
        <v>104</v>
      </c>
      <c r="AA287">
        <v>19</v>
      </c>
      <c r="AB287" t="s">
        <v>84</v>
      </c>
      <c r="AC287" t="s">
        <v>166</v>
      </c>
      <c r="AD287" t="s">
        <v>161</v>
      </c>
    </row>
    <row r="288" spans="1:30">
      <c r="A288" t="s">
        <v>220</v>
      </c>
      <c r="B288" s="16">
        <v>44470</v>
      </c>
      <c r="C288" s="394">
        <v>44481</v>
      </c>
      <c r="D288" t="s">
        <v>52</v>
      </c>
      <c r="E288">
        <v>3060</v>
      </c>
      <c r="F288">
        <v>224</v>
      </c>
      <c r="G288">
        <v>209</v>
      </c>
      <c r="H288">
        <v>144</v>
      </c>
      <c r="I288">
        <v>84</v>
      </c>
      <c r="J288">
        <v>13</v>
      </c>
      <c r="K288">
        <v>111</v>
      </c>
      <c r="L288">
        <v>92</v>
      </c>
      <c r="M288">
        <v>64</v>
      </c>
      <c r="N288">
        <v>19</v>
      </c>
      <c r="O288">
        <v>219</v>
      </c>
      <c r="P288">
        <v>155</v>
      </c>
      <c r="Q288">
        <v>152</v>
      </c>
      <c r="R288">
        <v>152</v>
      </c>
      <c r="S288">
        <v>749</v>
      </c>
      <c r="T288">
        <v>532</v>
      </c>
      <c r="U288">
        <v>217</v>
      </c>
      <c r="V288">
        <v>43</v>
      </c>
      <c r="W288">
        <v>207</v>
      </c>
      <c r="X288">
        <v>72</v>
      </c>
      <c r="Y288">
        <v>255</v>
      </c>
      <c r="Z288">
        <v>160</v>
      </c>
      <c r="AA288">
        <v>32</v>
      </c>
      <c r="AB288" t="s">
        <v>67</v>
      </c>
      <c r="AC288" t="s">
        <v>148</v>
      </c>
      <c r="AD288" t="s">
        <v>141</v>
      </c>
    </row>
    <row r="289" spans="1:30">
      <c r="A289" t="s">
        <v>220</v>
      </c>
      <c r="B289" s="16">
        <v>44470</v>
      </c>
      <c r="C289" s="394">
        <v>44481</v>
      </c>
      <c r="D289" t="s">
        <v>87</v>
      </c>
      <c r="E289">
        <v>3000</v>
      </c>
      <c r="F289">
        <v>257</v>
      </c>
      <c r="G289">
        <v>245</v>
      </c>
      <c r="H289">
        <v>171</v>
      </c>
      <c r="I289">
        <v>177</v>
      </c>
      <c r="J289">
        <v>22</v>
      </c>
      <c r="K289">
        <v>24</v>
      </c>
      <c r="L289">
        <v>17</v>
      </c>
      <c r="M289">
        <v>15</v>
      </c>
      <c r="N289">
        <v>15</v>
      </c>
      <c r="O289">
        <v>133</v>
      </c>
      <c r="P289">
        <v>102</v>
      </c>
      <c r="Q289">
        <v>102</v>
      </c>
      <c r="R289">
        <v>102</v>
      </c>
      <c r="S289">
        <v>451</v>
      </c>
      <c r="T289">
        <v>253</v>
      </c>
      <c r="U289">
        <v>198</v>
      </c>
      <c r="V289">
        <v>74</v>
      </c>
      <c r="W289">
        <v>91</v>
      </c>
      <c r="X289">
        <v>47</v>
      </c>
      <c r="Y289">
        <v>123</v>
      </c>
      <c r="Z289">
        <v>78</v>
      </c>
      <c r="AA289">
        <v>7</v>
      </c>
      <c r="AB289" t="s">
        <v>91</v>
      </c>
      <c r="AC289" t="s">
        <v>173</v>
      </c>
      <c r="AD289" t="s">
        <v>169</v>
      </c>
    </row>
    <row r="290" spans="1:30">
      <c r="A290" t="s">
        <v>220</v>
      </c>
      <c r="B290" s="16">
        <v>44470</v>
      </c>
      <c r="C290" s="394">
        <v>44481</v>
      </c>
      <c r="D290" t="s">
        <v>90</v>
      </c>
      <c r="E290">
        <v>2919</v>
      </c>
      <c r="F290">
        <v>215</v>
      </c>
      <c r="G290">
        <v>207</v>
      </c>
      <c r="H290">
        <v>162</v>
      </c>
      <c r="I290">
        <v>129</v>
      </c>
      <c r="J290">
        <v>13</v>
      </c>
      <c r="K290">
        <v>28</v>
      </c>
      <c r="L290">
        <v>20</v>
      </c>
      <c r="M290">
        <v>18</v>
      </c>
      <c r="N290">
        <v>10</v>
      </c>
      <c r="O290">
        <v>95</v>
      </c>
      <c r="P290">
        <v>84</v>
      </c>
      <c r="Q290">
        <v>84</v>
      </c>
      <c r="R290">
        <v>81</v>
      </c>
      <c r="S290">
        <v>335</v>
      </c>
      <c r="T290">
        <v>179</v>
      </c>
      <c r="U290">
        <v>156</v>
      </c>
      <c r="V290">
        <v>39</v>
      </c>
      <c r="W290">
        <v>84</v>
      </c>
      <c r="X290">
        <v>40</v>
      </c>
      <c r="Y290">
        <v>122</v>
      </c>
      <c r="Z290">
        <v>47</v>
      </c>
      <c r="AA290">
        <v>7</v>
      </c>
      <c r="AB290" t="s">
        <v>91</v>
      </c>
      <c r="AC290" t="s">
        <v>173</v>
      </c>
      <c r="AD290" t="s">
        <v>172</v>
      </c>
    </row>
    <row r="291" spans="1:30">
      <c r="A291" t="s">
        <v>220</v>
      </c>
      <c r="B291" s="16">
        <v>44470</v>
      </c>
      <c r="C291" s="394">
        <v>44481</v>
      </c>
      <c r="D291" t="s">
        <v>93</v>
      </c>
      <c r="E291">
        <v>2207</v>
      </c>
      <c r="F291">
        <v>211</v>
      </c>
      <c r="G291">
        <v>201</v>
      </c>
      <c r="H291">
        <v>145</v>
      </c>
      <c r="I291">
        <v>60</v>
      </c>
      <c r="J291">
        <v>6</v>
      </c>
      <c r="K291">
        <v>17</v>
      </c>
      <c r="L291">
        <v>9</v>
      </c>
      <c r="M291">
        <v>8</v>
      </c>
      <c r="N291">
        <v>9</v>
      </c>
      <c r="O291">
        <v>151</v>
      </c>
      <c r="P291">
        <v>103</v>
      </c>
      <c r="Q291">
        <v>100</v>
      </c>
      <c r="R291">
        <v>97</v>
      </c>
      <c r="S291">
        <v>373</v>
      </c>
      <c r="T291">
        <v>169</v>
      </c>
      <c r="U291">
        <v>204</v>
      </c>
      <c r="V291">
        <v>49</v>
      </c>
      <c r="W291">
        <v>87</v>
      </c>
      <c r="X291">
        <v>42</v>
      </c>
      <c r="Y291">
        <v>132</v>
      </c>
      <c r="Z291">
        <v>56</v>
      </c>
      <c r="AA291">
        <v>17</v>
      </c>
      <c r="AB291" t="s">
        <v>97</v>
      </c>
      <c r="AC291" t="s">
        <v>179</v>
      </c>
      <c r="AD291" t="s">
        <v>175</v>
      </c>
    </row>
    <row r="292" spans="1:30">
      <c r="A292" t="s">
        <v>220</v>
      </c>
      <c r="B292" s="16">
        <v>44470</v>
      </c>
      <c r="C292" s="394">
        <v>44481</v>
      </c>
      <c r="D292" t="s">
        <v>81</v>
      </c>
      <c r="E292">
        <v>2746</v>
      </c>
      <c r="F292">
        <v>206</v>
      </c>
      <c r="G292">
        <v>192</v>
      </c>
      <c r="H292">
        <v>71</v>
      </c>
      <c r="I292">
        <v>161</v>
      </c>
      <c r="J292">
        <v>25</v>
      </c>
      <c r="K292">
        <v>13</v>
      </c>
      <c r="L292">
        <v>10</v>
      </c>
      <c r="M292">
        <v>8</v>
      </c>
      <c r="N292">
        <v>10</v>
      </c>
      <c r="O292">
        <v>101</v>
      </c>
      <c r="P292">
        <v>75</v>
      </c>
      <c r="Q292">
        <v>72</v>
      </c>
      <c r="R292">
        <v>72</v>
      </c>
      <c r="S292">
        <v>337</v>
      </c>
      <c r="T292">
        <v>174</v>
      </c>
      <c r="U292">
        <v>163</v>
      </c>
      <c r="V292">
        <v>66</v>
      </c>
      <c r="W292">
        <v>65</v>
      </c>
      <c r="X292">
        <v>30</v>
      </c>
      <c r="Y292">
        <v>135</v>
      </c>
      <c r="Z292">
        <v>58</v>
      </c>
      <c r="AA292">
        <v>6</v>
      </c>
      <c r="AB292" t="s">
        <v>84</v>
      </c>
      <c r="AC292" t="s">
        <v>166</v>
      </c>
      <c r="AD292" t="s">
        <v>162</v>
      </c>
    </row>
    <row r="293" spans="1:30">
      <c r="A293" t="s">
        <v>220</v>
      </c>
      <c r="B293" s="16">
        <v>44470</v>
      </c>
      <c r="C293" s="394">
        <v>44481</v>
      </c>
      <c r="D293" t="s">
        <v>69</v>
      </c>
      <c r="E293">
        <v>7002</v>
      </c>
      <c r="F293">
        <v>479</v>
      </c>
      <c r="G293">
        <v>449</v>
      </c>
      <c r="H293">
        <v>341</v>
      </c>
      <c r="I293">
        <v>165</v>
      </c>
      <c r="J293">
        <v>14</v>
      </c>
      <c r="K293">
        <v>109</v>
      </c>
      <c r="L293">
        <v>76</v>
      </c>
      <c r="M293">
        <v>28</v>
      </c>
      <c r="N293">
        <v>40</v>
      </c>
      <c r="O293">
        <v>465</v>
      </c>
      <c r="P293">
        <v>302</v>
      </c>
      <c r="Q293">
        <v>285</v>
      </c>
      <c r="R293">
        <v>265</v>
      </c>
      <c r="S293">
        <v>1236</v>
      </c>
      <c r="T293">
        <v>756</v>
      </c>
      <c r="U293">
        <v>480</v>
      </c>
      <c r="V293">
        <v>170</v>
      </c>
      <c r="W293">
        <v>318</v>
      </c>
      <c r="X293">
        <v>152</v>
      </c>
      <c r="Y293">
        <v>498</v>
      </c>
      <c r="Z293">
        <v>210</v>
      </c>
      <c r="AA293">
        <v>16</v>
      </c>
      <c r="AB293" t="s">
        <v>74</v>
      </c>
      <c r="AC293" t="s">
        <v>154</v>
      </c>
      <c r="AD293" t="s">
        <v>150</v>
      </c>
    </row>
    <row r="294" spans="1:30">
      <c r="A294" t="s">
        <v>220</v>
      </c>
      <c r="B294" s="16">
        <v>44470</v>
      </c>
      <c r="C294" s="394">
        <v>44481</v>
      </c>
      <c r="D294" t="s">
        <v>65</v>
      </c>
      <c r="E294">
        <v>4913</v>
      </c>
      <c r="F294">
        <v>411</v>
      </c>
      <c r="G294">
        <v>387</v>
      </c>
      <c r="H294">
        <v>158</v>
      </c>
      <c r="I294">
        <v>266</v>
      </c>
      <c r="J294">
        <v>23</v>
      </c>
      <c r="K294">
        <v>79</v>
      </c>
      <c r="L294">
        <v>27</v>
      </c>
      <c r="M294">
        <v>12</v>
      </c>
      <c r="N294">
        <v>12</v>
      </c>
      <c r="O294">
        <v>315</v>
      </c>
      <c r="P294">
        <v>108</v>
      </c>
      <c r="Q294">
        <v>107</v>
      </c>
      <c r="R294">
        <v>105</v>
      </c>
      <c r="S294">
        <v>714</v>
      </c>
      <c r="T294">
        <v>267</v>
      </c>
      <c r="U294">
        <v>447</v>
      </c>
      <c r="V294">
        <v>52</v>
      </c>
      <c r="W294">
        <v>163</v>
      </c>
      <c r="X294">
        <v>85</v>
      </c>
      <c r="Y294">
        <v>271</v>
      </c>
      <c r="Z294">
        <v>103</v>
      </c>
      <c r="AA294">
        <v>31</v>
      </c>
      <c r="AB294" t="s">
        <v>67</v>
      </c>
      <c r="AC294" t="s">
        <v>148</v>
      </c>
      <c r="AD294" t="s">
        <v>145</v>
      </c>
    </row>
    <row r="295" spans="1:30">
      <c r="A295" t="s">
        <v>220</v>
      </c>
      <c r="B295" s="16">
        <v>44501</v>
      </c>
      <c r="C295" s="394">
        <v>44502</v>
      </c>
      <c r="D295" t="s">
        <v>94</v>
      </c>
      <c r="E295">
        <v>6200</v>
      </c>
      <c r="F295">
        <v>536</v>
      </c>
      <c r="G295">
        <v>506</v>
      </c>
      <c r="H295">
        <v>336</v>
      </c>
      <c r="I295">
        <v>332</v>
      </c>
      <c r="J295">
        <v>45</v>
      </c>
      <c r="K295">
        <v>80</v>
      </c>
      <c r="L295">
        <v>57</v>
      </c>
      <c r="M295">
        <v>38</v>
      </c>
      <c r="N295">
        <v>40</v>
      </c>
      <c r="O295">
        <v>322</v>
      </c>
      <c r="P295">
        <v>204</v>
      </c>
      <c r="Q295">
        <v>197</v>
      </c>
      <c r="R295">
        <v>200</v>
      </c>
      <c r="S295">
        <v>884</v>
      </c>
      <c r="T295">
        <v>420</v>
      </c>
      <c r="U295">
        <v>464</v>
      </c>
      <c r="V295">
        <v>95</v>
      </c>
      <c r="W295">
        <v>226</v>
      </c>
      <c r="X295">
        <v>101</v>
      </c>
      <c r="Y295">
        <v>320</v>
      </c>
      <c r="Z295">
        <v>137</v>
      </c>
      <c r="AA295">
        <v>14</v>
      </c>
      <c r="AB295" t="s">
        <v>97</v>
      </c>
      <c r="AC295" t="s">
        <v>179</v>
      </c>
      <c r="AD295" t="s">
        <v>176</v>
      </c>
    </row>
    <row r="296" spans="1:30">
      <c r="A296" t="s">
        <v>220</v>
      </c>
      <c r="B296" s="16">
        <v>44501</v>
      </c>
      <c r="C296" s="394">
        <v>44502</v>
      </c>
      <c r="D296" t="s">
        <v>61</v>
      </c>
      <c r="E296">
        <v>7214</v>
      </c>
      <c r="F296">
        <v>356</v>
      </c>
      <c r="G296">
        <v>326</v>
      </c>
      <c r="H296">
        <v>212</v>
      </c>
      <c r="I296">
        <v>228</v>
      </c>
      <c r="J296">
        <v>40</v>
      </c>
      <c r="K296">
        <v>107</v>
      </c>
      <c r="L296">
        <v>81</v>
      </c>
      <c r="M296">
        <v>14</v>
      </c>
      <c r="N296">
        <v>66</v>
      </c>
      <c r="O296">
        <v>360</v>
      </c>
      <c r="P296">
        <v>172</v>
      </c>
      <c r="Q296">
        <v>163</v>
      </c>
      <c r="R296">
        <v>167</v>
      </c>
      <c r="S296">
        <v>806</v>
      </c>
      <c r="T296">
        <v>423</v>
      </c>
      <c r="U296">
        <v>383</v>
      </c>
      <c r="V296">
        <v>107</v>
      </c>
      <c r="W296">
        <v>153</v>
      </c>
      <c r="X296">
        <v>80</v>
      </c>
      <c r="Y296">
        <v>264</v>
      </c>
      <c r="Z296">
        <v>137</v>
      </c>
      <c r="AA296">
        <v>27</v>
      </c>
      <c r="AB296" t="s">
        <v>67</v>
      </c>
      <c r="AC296" t="s">
        <v>148</v>
      </c>
      <c r="AD296" t="s">
        <v>143</v>
      </c>
    </row>
    <row r="297" spans="1:30">
      <c r="A297" t="s">
        <v>220</v>
      </c>
      <c r="B297" s="16">
        <v>44501</v>
      </c>
      <c r="C297" s="394">
        <v>44502</v>
      </c>
      <c r="D297" t="s">
        <v>98</v>
      </c>
      <c r="E297">
        <v>5279</v>
      </c>
      <c r="F297">
        <v>430</v>
      </c>
      <c r="G297">
        <v>409</v>
      </c>
      <c r="H297">
        <v>290</v>
      </c>
      <c r="I297">
        <v>279</v>
      </c>
      <c r="J297">
        <v>37</v>
      </c>
      <c r="K297">
        <v>58</v>
      </c>
      <c r="L297">
        <v>33</v>
      </c>
      <c r="M297">
        <v>24</v>
      </c>
      <c r="N297">
        <v>29</v>
      </c>
      <c r="O297">
        <v>246</v>
      </c>
      <c r="P297">
        <v>165</v>
      </c>
      <c r="Q297">
        <v>163</v>
      </c>
      <c r="R297">
        <v>161</v>
      </c>
      <c r="S297">
        <v>802</v>
      </c>
      <c r="T297">
        <v>338</v>
      </c>
      <c r="U297">
        <v>464</v>
      </c>
      <c r="V297">
        <v>150</v>
      </c>
      <c r="W297">
        <v>170</v>
      </c>
      <c r="X297">
        <v>99</v>
      </c>
      <c r="Y297">
        <v>294</v>
      </c>
      <c r="Z297">
        <v>135</v>
      </c>
      <c r="AA297">
        <v>26</v>
      </c>
      <c r="AB297" t="s">
        <v>103</v>
      </c>
      <c r="AC297" t="s">
        <v>185</v>
      </c>
      <c r="AD297" t="s">
        <v>180</v>
      </c>
    </row>
    <row r="298" spans="1:30">
      <c r="A298" t="s">
        <v>220</v>
      </c>
      <c r="B298" s="16">
        <v>44501</v>
      </c>
      <c r="C298" s="394">
        <v>44502</v>
      </c>
      <c r="D298" t="s">
        <v>75</v>
      </c>
      <c r="E298">
        <v>7758</v>
      </c>
      <c r="F298">
        <v>743</v>
      </c>
      <c r="G298">
        <v>704</v>
      </c>
      <c r="H298">
        <v>618</v>
      </c>
      <c r="I298">
        <v>344</v>
      </c>
      <c r="J298">
        <v>57</v>
      </c>
      <c r="K298">
        <v>87</v>
      </c>
      <c r="L298">
        <v>82</v>
      </c>
      <c r="M298">
        <v>77</v>
      </c>
      <c r="N298">
        <v>75</v>
      </c>
      <c r="O298">
        <v>338</v>
      </c>
      <c r="P298">
        <v>309</v>
      </c>
      <c r="Q298">
        <v>304</v>
      </c>
      <c r="R298">
        <v>305</v>
      </c>
      <c r="S298">
        <v>1137</v>
      </c>
      <c r="T298">
        <v>583</v>
      </c>
      <c r="U298">
        <v>554</v>
      </c>
      <c r="V298">
        <v>192</v>
      </c>
      <c r="W298">
        <v>352</v>
      </c>
      <c r="X298">
        <v>204</v>
      </c>
      <c r="Y298">
        <v>509</v>
      </c>
      <c r="Z298">
        <v>229</v>
      </c>
      <c r="AA298">
        <v>69</v>
      </c>
      <c r="AB298" t="s">
        <v>77</v>
      </c>
      <c r="AC298" t="s">
        <v>158</v>
      </c>
      <c r="AD298" t="s">
        <v>155</v>
      </c>
    </row>
    <row r="299" spans="1:30">
      <c r="A299" t="s">
        <v>220</v>
      </c>
      <c r="B299" s="16">
        <v>44501</v>
      </c>
      <c r="C299" s="394">
        <v>44502</v>
      </c>
      <c r="D299" t="s">
        <v>99</v>
      </c>
      <c r="E299">
        <v>6259</v>
      </c>
      <c r="F299">
        <v>557</v>
      </c>
      <c r="G299">
        <v>540</v>
      </c>
      <c r="H299">
        <v>482</v>
      </c>
      <c r="I299">
        <v>457</v>
      </c>
      <c r="J299">
        <v>128</v>
      </c>
      <c r="K299">
        <v>37</v>
      </c>
      <c r="L299">
        <v>26</v>
      </c>
      <c r="M299">
        <v>19</v>
      </c>
      <c r="N299">
        <v>25</v>
      </c>
      <c r="O299">
        <v>349</v>
      </c>
      <c r="P299">
        <v>305</v>
      </c>
      <c r="Q299">
        <v>302</v>
      </c>
      <c r="R299">
        <v>299</v>
      </c>
      <c r="S299">
        <v>722</v>
      </c>
      <c r="T299">
        <v>487</v>
      </c>
      <c r="U299">
        <v>235</v>
      </c>
      <c r="V299">
        <v>86</v>
      </c>
      <c r="W299">
        <v>198</v>
      </c>
      <c r="X299">
        <v>128</v>
      </c>
      <c r="Y299">
        <v>326</v>
      </c>
      <c r="Z299">
        <v>156</v>
      </c>
      <c r="AA299">
        <v>28</v>
      </c>
      <c r="AB299" t="s">
        <v>103</v>
      </c>
      <c r="AC299" t="s">
        <v>185</v>
      </c>
      <c r="AD299" t="s">
        <v>221</v>
      </c>
    </row>
    <row r="300" spans="1:30">
      <c r="A300" t="s">
        <v>220</v>
      </c>
      <c r="B300" s="16">
        <v>44501</v>
      </c>
      <c r="C300" s="394">
        <v>44502</v>
      </c>
      <c r="D300" t="s">
        <v>78</v>
      </c>
      <c r="E300">
        <v>11882</v>
      </c>
      <c r="F300">
        <v>787</v>
      </c>
      <c r="G300">
        <v>722</v>
      </c>
      <c r="H300">
        <v>396</v>
      </c>
      <c r="I300">
        <v>537</v>
      </c>
      <c r="J300">
        <v>57</v>
      </c>
      <c r="K300">
        <v>106</v>
      </c>
      <c r="L300">
        <v>91</v>
      </c>
      <c r="M300">
        <v>88</v>
      </c>
      <c r="N300">
        <v>88</v>
      </c>
      <c r="O300">
        <v>592</v>
      </c>
      <c r="P300">
        <v>225</v>
      </c>
      <c r="Q300">
        <v>215</v>
      </c>
      <c r="R300">
        <v>217</v>
      </c>
      <c r="S300">
        <v>1432</v>
      </c>
      <c r="T300">
        <v>510</v>
      </c>
      <c r="U300">
        <v>922</v>
      </c>
      <c r="V300">
        <v>97</v>
      </c>
      <c r="W300">
        <v>356</v>
      </c>
      <c r="X300">
        <v>174</v>
      </c>
      <c r="Y300">
        <v>567</v>
      </c>
      <c r="Z300">
        <v>228</v>
      </c>
      <c r="AA300">
        <v>42</v>
      </c>
      <c r="AB300" t="s">
        <v>84</v>
      </c>
      <c r="AC300" t="s">
        <v>166</v>
      </c>
      <c r="AD300" t="s">
        <v>159</v>
      </c>
    </row>
    <row r="301" spans="1:30">
      <c r="A301" t="s">
        <v>220</v>
      </c>
      <c r="B301" s="16">
        <v>44501</v>
      </c>
      <c r="C301" s="394">
        <v>44502</v>
      </c>
      <c r="D301" t="s">
        <v>76</v>
      </c>
      <c r="E301">
        <v>8455</v>
      </c>
      <c r="F301">
        <v>803</v>
      </c>
      <c r="G301">
        <v>776</v>
      </c>
      <c r="H301">
        <v>667</v>
      </c>
      <c r="I301">
        <v>470</v>
      </c>
      <c r="J301">
        <v>98</v>
      </c>
      <c r="K301">
        <v>45</v>
      </c>
      <c r="L301">
        <v>43</v>
      </c>
      <c r="M301">
        <v>40</v>
      </c>
      <c r="N301">
        <v>43</v>
      </c>
      <c r="O301">
        <v>436</v>
      </c>
      <c r="P301">
        <v>371</v>
      </c>
      <c r="Q301">
        <v>367</v>
      </c>
      <c r="R301">
        <v>363</v>
      </c>
      <c r="S301">
        <v>1089</v>
      </c>
      <c r="T301">
        <v>634</v>
      </c>
      <c r="U301">
        <v>455</v>
      </c>
      <c r="V301">
        <v>147</v>
      </c>
      <c r="W301">
        <v>349</v>
      </c>
      <c r="X301">
        <v>194</v>
      </c>
      <c r="Y301">
        <v>446</v>
      </c>
      <c r="Z301">
        <v>186</v>
      </c>
      <c r="AA301">
        <v>74</v>
      </c>
      <c r="AB301" t="s">
        <v>77</v>
      </c>
      <c r="AC301" t="s">
        <v>158</v>
      </c>
      <c r="AD301" t="s">
        <v>156</v>
      </c>
    </row>
    <row r="302" spans="1:30">
      <c r="A302" t="s">
        <v>220</v>
      </c>
      <c r="B302" s="16">
        <v>44501</v>
      </c>
      <c r="C302" s="394">
        <v>44502</v>
      </c>
      <c r="D302" t="s">
        <v>79</v>
      </c>
      <c r="E302">
        <v>8305</v>
      </c>
      <c r="F302">
        <v>405</v>
      </c>
      <c r="G302">
        <v>371</v>
      </c>
      <c r="H302">
        <v>274</v>
      </c>
      <c r="I302">
        <v>211</v>
      </c>
      <c r="J302">
        <v>19</v>
      </c>
      <c r="K302">
        <v>32</v>
      </c>
      <c r="L302">
        <v>24</v>
      </c>
      <c r="M302">
        <v>20</v>
      </c>
      <c r="N302">
        <v>23</v>
      </c>
      <c r="O302">
        <v>321</v>
      </c>
      <c r="P302">
        <v>238</v>
      </c>
      <c r="Q302">
        <v>233</v>
      </c>
      <c r="R302">
        <v>233</v>
      </c>
      <c r="S302">
        <v>750</v>
      </c>
      <c r="T302">
        <v>297</v>
      </c>
      <c r="U302">
        <v>453</v>
      </c>
      <c r="V302">
        <v>104</v>
      </c>
      <c r="W302">
        <v>149</v>
      </c>
      <c r="X302">
        <v>82</v>
      </c>
      <c r="Y302">
        <v>256</v>
      </c>
      <c r="Z302">
        <v>136</v>
      </c>
      <c r="AA302">
        <v>24</v>
      </c>
      <c r="AB302" t="s">
        <v>84</v>
      </c>
      <c r="AC302" t="s">
        <v>166</v>
      </c>
      <c r="AD302" t="s">
        <v>160</v>
      </c>
    </row>
    <row r="303" spans="1:30">
      <c r="A303" t="s">
        <v>220</v>
      </c>
      <c r="B303" s="16">
        <v>44501</v>
      </c>
      <c r="C303" s="394">
        <v>44502</v>
      </c>
      <c r="D303" t="s">
        <v>86</v>
      </c>
      <c r="E303">
        <v>1692</v>
      </c>
      <c r="F303">
        <v>138</v>
      </c>
      <c r="G303">
        <v>134</v>
      </c>
      <c r="H303">
        <v>80</v>
      </c>
      <c r="I303">
        <v>111</v>
      </c>
      <c r="J303">
        <v>8</v>
      </c>
      <c r="K303">
        <v>19</v>
      </c>
      <c r="L303">
        <v>14</v>
      </c>
      <c r="M303">
        <v>11</v>
      </c>
      <c r="N303">
        <v>8</v>
      </c>
      <c r="O303">
        <v>85</v>
      </c>
      <c r="P303">
        <v>62</v>
      </c>
      <c r="Q303">
        <v>62</v>
      </c>
      <c r="R303">
        <v>62</v>
      </c>
      <c r="S303">
        <v>267</v>
      </c>
      <c r="T303">
        <v>91</v>
      </c>
      <c r="U303">
        <v>176</v>
      </c>
      <c r="V303">
        <v>29</v>
      </c>
      <c r="W303">
        <v>70</v>
      </c>
      <c r="X303">
        <v>32</v>
      </c>
      <c r="Y303">
        <v>78</v>
      </c>
      <c r="Z303">
        <v>23</v>
      </c>
      <c r="AA303">
        <v>8</v>
      </c>
      <c r="AB303" t="s">
        <v>91</v>
      </c>
      <c r="AC303" t="s">
        <v>173</v>
      </c>
      <c r="AD303" t="s">
        <v>168</v>
      </c>
    </row>
    <row r="304" spans="1:30">
      <c r="A304" t="s">
        <v>220</v>
      </c>
      <c r="B304" s="16">
        <v>44501</v>
      </c>
      <c r="C304" s="394">
        <v>44502</v>
      </c>
      <c r="D304" t="s">
        <v>102</v>
      </c>
      <c r="E304">
        <v>12980</v>
      </c>
      <c r="F304">
        <v>795</v>
      </c>
      <c r="G304">
        <v>735</v>
      </c>
      <c r="H304">
        <v>453</v>
      </c>
      <c r="I304">
        <v>568</v>
      </c>
      <c r="J304">
        <v>71</v>
      </c>
      <c r="K304">
        <v>107</v>
      </c>
      <c r="L304">
        <v>65</v>
      </c>
      <c r="M304">
        <v>59</v>
      </c>
      <c r="N304">
        <v>62</v>
      </c>
      <c r="O304">
        <v>560</v>
      </c>
      <c r="P304">
        <v>132</v>
      </c>
      <c r="Q304">
        <v>118</v>
      </c>
      <c r="R304">
        <v>119</v>
      </c>
      <c r="S304">
        <v>1460</v>
      </c>
      <c r="T304">
        <v>788</v>
      </c>
      <c r="U304">
        <v>672</v>
      </c>
      <c r="V304">
        <v>135</v>
      </c>
      <c r="W304">
        <v>328</v>
      </c>
      <c r="X304">
        <v>181</v>
      </c>
      <c r="Y304">
        <v>513</v>
      </c>
      <c r="Z304">
        <v>264</v>
      </c>
      <c r="AA304">
        <v>32</v>
      </c>
      <c r="AB304" t="s">
        <v>103</v>
      </c>
      <c r="AC304" t="s">
        <v>185</v>
      </c>
      <c r="AD304" t="s">
        <v>184</v>
      </c>
    </row>
    <row r="305" spans="1:30">
      <c r="A305" t="s">
        <v>220</v>
      </c>
      <c r="B305" s="16">
        <v>44501</v>
      </c>
      <c r="C305" s="394">
        <v>44502</v>
      </c>
      <c r="D305" t="s">
        <v>100</v>
      </c>
      <c r="E305">
        <v>5842</v>
      </c>
      <c r="F305">
        <v>465</v>
      </c>
      <c r="G305">
        <v>436</v>
      </c>
      <c r="H305">
        <v>152</v>
      </c>
      <c r="I305">
        <v>311</v>
      </c>
      <c r="J305">
        <v>30</v>
      </c>
      <c r="K305">
        <v>64</v>
      </c>
      <c r="L305">
        <v>20</v>
      </c>
      <c r="M305">
        <v>5</v>
      </c>
      <c r="N305">
        <v>8</v>
      </c>
      <c r="O305">
        <v>266</v>
      </c>
      <c r="P305">
        <v>111</v>
      </c>
      <c r="Q305">
        <v>91</v>
      </c>
      <c r="R305">
        <v>79</v>
      </c>
      <c r="S305">
        <v>819</v>
      </c>
      <c r="T305">
        <v>303</v>
      </c>
      <c r="U305">
        <v>516</v>
      </c>
      <c r="V305">
        <v>97</v>
      </c>
      <c r="W305">
        <v>201</v>
      </c>
      <c r="X305">
        <v>113</v>
      </c>
      <c r="Y305">
        <v>297</v>
      </c>
      <c r="Z305">
        <v>161</v>
      </c>
      <c r="AA305">
        <v>47</v>
      </c>
      <c r="AB305" t="s">
        <v>103</v>
      </c>
      <c r="AC305" t="s">
        <v>185</v>
      </c>
      <c r="AD305" t="s">
        <v>182</v>
      </c>
    </row>
    <row r="306" spans="1:30">
      <c r="A306" t="s">
        <v>220</v>
      </c>
      <c r="B306" s="16">
        <v>44501</v>
      </c>
      <c r="C306" s="394">
        <v>44502</v>
      </c>
      <c r="D306" t="s">
        <v>71</v>
      </c>
      <c r="E306">
        <v>5756</v>
      </c>
      <c r="F306">
        <v>347</v>
      </c>
      <c r="G306">
        <v>319</v>
      </c>
      <c r="H306">
        <v>138</v>
      </c>
      <c r="I306">
        <v>138</v>
      </c>
      <c r="J306">
        <v>8</v>
      </c>
      <c r="K306">
        <v>74</v>
      </c>
      <c r="L306">
        <v>41</v>
      </c>
      <c r="M306">
        <v>5</v>
      </c>
      <c r="N306">
        <v>33</v>
      </c>
      <c r="O306">
        <v>324</v>
      </c>
      <c r="P306">
        <v>179</v>
      </c>
      <c r="Q306">
        <v>177</v>
      </c>
      <c r="R306">
        <v>175</v>
      </c>
      <c r="S306">
        <v>1087</v>
      </c>
      <c r="T306">
        <v>428</v>
      </c>
      <c r="U306">
        <v>659</v>
      </c>
      <c r="V306">
        <v>35</v>
      </c>
      <c r="W306">
        <v>280</v>
      </c>
      <c r="X306">
        <v>124</v>
      </c>
      <c r="Y306">
        <v>476</v>
      </c>
      <c r="Z306">
        <v>273</v>
      </c>
      <c r="AA306">
        <v>8</v>
      </c>
      <c r="AB306" t="s">
        <v>74</v>
      </c>
      <c r="AC306" t="s">
        <v>154</v>
      </c>
      <c r="AD306" t="s">
        <v>152</v>
      </c>
    </row>
    <row r="307" spans="1:30">
      <c r="A307" t="s">
        <v>220</v>
      </c>
      <c r="B307" s="16">
        <v>44501</v>
      </c>
      <c r="C307" s="394">
        <v>44502</v>
      </c>
      <c r="D307" t="s">
        <v>95</v>
      </c>
      <c r="E307">
        <v>4534</v>
      </c>
      <c r="F307">
        <v>311</v>
      </c>
      <c r="G307">
        <v>300</v>
      </c>
      <c r="H307">
        <v>178</v>
      </c>
      <c r="I307">
        <v>109</v>
      </c>
      <c r="J307">
        <v>6</v>
      </c>
      <c r="K307">
        <v>32</v>
      </c>
      <c r="L307">
        <v>18</v>
      </c>
      <c r="M307">
        <v>5</v>
      </c>
      <c r="N307">
        <v>14</v>
      </c>
      <c r="O307">
        <v>206</v>
      </c>
      <c r="P307">
        <v>96</v>
      </c>
      <c r="Q307">
        <v>94</v>
      </c>
      <c r="R307">
        <v>94</v>
      </c>
      <c r="S307">
        <v>481</v>
      </c>
      <c r="T307">
        <v>215</v>
      </c>
      <c r="U307">
        <v>266</v>
      </c>
      <c r="V307">
        <v>30</v>
      </c>
      <c r="W307">
        <v>132</v>
      </c>
      <c r="X307">
        <v>75</v>
      </c>
      <c r="Y307">
        <v>174</v>
      </c>
      <c r="Z307">
        <v>92</v>
      </c>
      <c r="AA307">
        <v>9</v>
      </c>
      <c r="AB307" t="s">
        <v>97</v>
      </c>
      <c r="AC307" t="s">
        <v>179</v>
      </c>
      <c r="AD307" t="s">
        <v>177</v>
      </c>
    </row>
    <row r="308" spans="1:30">
      <c r="A308" t="s">
        <v>220</v>
      </c>
      <c r="B308" s="16">
        <v>44501</v>
      </c>
      <c r="C308" s="394">
        <v>44502</v>
      </c>
      <c r="D308" t="s">
        <v>83</v>
      </c>
      <c r="E308">
        <v>4078</v>
      </c>
      <c r="F308">
        <v>367</v>
      </c>
      <c r="G308">
        <v>350</v>
      </c>
      <c r="H308">
        <v>93</v>
      </c>
      <c r="I308">
        <v>146</v>
      </c>
      <c r="J308">
        <v>5</v>
      </c>
      <c r="K308">
        <v>35</v>
      </c>
      <c r="L308">
        <v>19</v>
      </c>
      <c r="M308">
        <v>0</v>
      </c>
      <c r="N308">
        <v>16</v>
      </c>
      <c r="O308">
        <v>212</v>
      </c>
      <c r="P308">
        <v>151</v>
      </c>
      <c r="Q308">
        <v>147</v>
      </c>
      <c r="R308">
        <v>144</v>
      </c>
      <c r="S308">
        <v>670</v>
      </c>
      <c r="T308">
        <v>224</v>
      </c>
      <c r="U308">
        <v>446</v>
      </c>
      <c r="V308">
        <v>46</v>
      </c>
      <c r="W308">
        <v>130</v>
      </c>
      <c r="X308">
        <v>64</v>
      </c>
      <c r="Y308">
        <v>213</v>
      </c>
      <c r="Z308">
        <v>118</v>
      </c>
      <c r="AA308">
        <v>18</v>
      </c>
      <c r="AB308" t="s">
        <v>84</v>
      </c>
      <c r="AC308" t="s">
        <v>166</v>
      </c>
      <c r="AD308" t="s">
        <v>164</v>
      </c>
    </row>
    <row r="309" spans="1:30">
      <c r="A309" t="s">
        <v>220</v>
      </c>
      <c r="B309" s="16">
        <v>44501</v>
      </c>
      <c r="C309" s="394">
        <v>44502</v>
      </c>
      <c r="D309" t="s">
        <v>92</v>
      </c>
      <c r="E309">
        <v>11580</v>
      </c>
      <c r="F309">
        <v>658</v>
      </c>
      <c r="G309">
        <v>623</v>
      </c>
      <c r="H309">
        <v>464</v>
      </c>
      <c r="I309">
        <v>257</v>
      </c>
      <c r="J309">
        <v>32</v>
      </c>
      <c r="K309">
        <v>89</v>
      </c>
      <c r="L309">
        <v>51</v>
      </c>
      <c r="M309">
        <v>37</v>
      </c>
      <c r="N309">
        <v>38</v>
      </c>
      <c r="O309">
        <v>660</v>
      </c>
      <c r="P309">
        <v>457</v>
      </c>
      <c r="Q309">
        <v>445</v>
      </c>
      <c r="R309">
        <v>452</v>
      </c>
      <c r="S309">
        <v>1265</v>
      </c>
      <c r="T309">
        <v>703</v>
      </c>
      <c r="U309">
        <v>562</v>
      </c>
      <c r="V309">
        <v>181</v>
      </c>
      <c r="W309">
        <v>307</v>
      </c>
      <c r="X309">
        <v>149</v>
      </c>
      <c r="Y309">
        <v>435</v>
      </c>
      <c r="Z309">
        <v>192</v>
      </c>
      <c r="AA309">
        <v>8</v>
      </c>
      <c r="AB309" t="s">
        <v>97</v>
      </c>
      <c r="AC309" t="s">
        <v>179</v>
      </c>
      <c r="AD309" t="s">
        <v>174</v>
      </c>
    </row>
    <row r="310" spans="1:30">
      <c r="A310" t="s">
        <v>220</v>
      </c>
      <c r="B310" s="16">
        <v>44501</v>
      </c>
      <c r="C310" s="394">
        <v>44502</v>
      </c>
      <c r="D310" t="s">
        <v>72</v>
      </c>
      <c r="E310">
        <v>5942</v>
      </c>
      <c r="F310">
        <v>353</v>
      </c>
      <c r="G310">
        <v>326</v>
      </c>
      <c r="H310">
        <v>290</v>
      </c>
      <c r="I310">
        <v>111</v>
      </c>
      <c r="J310">
        <v>25</v>
      </c>
      <c r="K310">
        <v>65</v>
      </c>
      <c r="L310">
        <v>36</v>
      </c>
      <c r="M310">
        <v>25</v>
      </c>
      <c r="N310">
        <v>5</v>
      </c>
      <c r="O310">
        <v>381</v>
      </c>
      <c r="P310">
        <v>296</v>
      </c>
      <c r="Q310">
        <v>291</v>
      </c>
      <c r="R310">
        <v>286</v>
      </c>
      <c r="S310">
        <v>823</v>
      </c>
      <c r="T310">
        <v>594</v>
      </c>
      <c r="U310">
        <v>229</v>
      </c>
      <c r="V310">
        <v>86</v>
      </c>
      <c r="W310">
        <v>236</v>
      </c>
      <c r="X310">
        <v>107</v>
      </c>
      <c r="Y310">
        <v>382</v>
      </c>
      <c r="Z310">
        <v>192</v>
      </c>
      <c r="AA310">
        <v>10</v>
      </c>
      <c r="AB310" t="s">
        <v>74</v>
      </c>
      <c r="AC310" t="s">
        <v>154</v>
      </c>
      <c r="AD310" t="s">
        <v>153</v>
      </c>
    </row>
    <row r="311" spans="1:30">
      <c r="A311" t="s">
        <v>220</v>
      </c>
      <c r="B311" s="16">
        <v>44501</v>
      </c>
      <c r="C311" s="394">
        <v>44502</v>
      </c>
      <c r="D311" t="s">
        <v>85</v>
      </c>
      <c r="E311">
        <v>5350</v>
      </c>
      <c r="F311">
        <v>316</v>
      </c>
      <c r="G311">
        <v>300</v>
      </c>
      <c r="H311">
        <v>216</v>
      </c>
      <c r="I311">
        <v>240</v>
      </c>
      <c r="J311">
        <v>46</v>
      </c>
      <c r="K311">
        <v>31</v>
      </c>
      <c r="L311">
        <v>23</v>
      </c>
      <c r="M311">
        <v>20</v>
      </c>
      <c r="N311">
        <v>22</v>
      </c>
      <c r="O311">
        <v>270</v>
      </c>
      <c r="P311">
        <v>184</v>
      </c>
      <c r="Q311">
        <v>182</v>
      </c>
      <c r="R311">
        <v>177</v>
      </c>
      <c r="S311">
        <v>601</v>
      </c>
      <c r="T311">
        <v>280</v>
      </c>
      <c r="U311">
        <v>321</v>
      </c>
      <c r="V311">
        <v>51</v>
      </c>
      <c r="W311">
        <v>157</v>
      </c>
      <c r="X311">
        <v>66</v>
      </c>
      <c r="Y311">
        <v>278</v>
      </c>
      <c r="Z311">
        <v>120</v>
      </c>
      <c r="AA311">
        <v>10</v>
      </c>
      <c r="AB311" t="s">
        <v>91</v>
      </c>
      <c r="AC311" t="s">
        <v>173</v>
      </c>
      <c r="AD311" t="s">
        <v>167</v>
      </c>
    </row>
    <row r="312" spans="1:30">
      <c r="A312" t="s">
        <v>220</v>
      </c>
      <c r="B312" s="16">
        <v>44501</v>
      </c>
      <c r="C312" s="394">
        <v>44502</v>
      </c>
      <c r="D312" t="s">
        <v>88</v>
      </c>
      <c r="E312">
        <v>4649</v>
      </c>
      <c r="F312">
        <v>422</v>
      </c>
      <c r="G312">
        <v>402</v>
      </c>
      <c r="H312">
        <v>255</v>
      </c>
      <c r="I312">
        <v>295</v>
      </c>
      <c r="J312">
        <v>46</v>
      </c>
      <c r="K312">
        <v>55</v>
      </c>
      <c r="L312">
        <v>31</v>
      </c>
      <c r="M312">
        <v>24</v>
      </c>
      <c r="N312">
        <v>27</v>
      </c>
      <c r="O312">
        <v>244</v>
      </c>
      <c r="P312">
        <v>142</v>
      </c>
      <c r="Q312">
        <v>138</v>
      </c>
      <c r="R312">
        <v>133</v>
      </c>
      <c r="S312">
        <v>690</v>
      </c>
      <c r="T312">
        <v>293</v>
      </c>
      <c r="U312">
        <v>397</v>
      </c>
      <c r="V312">
        <v>134</v>
      </c>
      <c r="W312">
        <v>202</v>
      </c>
      <c r="X312">
        <v>88</v>
      </c>
      <c r="Y312">
        <v>282</v>
      </c>
      <c r="Z312">
        <v>144</v>
      </c>
      <c r="AA312">
        <v>3</v>
      </c>
      <c r="AB312" t="s">
        <v>91</v>
      </c>
      <c r="AC312" t="s">
        <v>173</v>
      </c>
      <c r="AD312" t="s">
        <v>170</v>
      </c>
    </row>
    <row r="313" spans="1:30">
      <c r="A313" t="s">
        <v>220</v>
      </c>
      <c r="B313" s="16">
        <v>44501</v>
      </c>
      <c r="C313" s="394">
        <v>44502</v>
      </c>
      <c r="D313" t="s">
        <v>64</v>
      </c>
      <c r="E313">
        <v>5357</v>
      </c>
      <c r="F313">
        <v>299</v>
      </c>
      <c r="G313">
        <v>284</v>
      </c>
      <c r="H313">
        <v>126</v>
      </c>
      <c r="I313">
        <v>213</v>
      </c>
      <c r="J313">
        <v>15</v>
      </c>
      <c r="K313">
        <v>25</v>
      </c>
      <c r="L313">
        <v>11</v>
      </c>
      <c r="M313">
        <v>3</v>
      </c>
      <c r="N313">
        <v>6</v>
      </c>
      <c r="O313">
        <v>192</v>
      </c>
      <c r="P313">
        <v>92</v>
      </c>
      <c r="Q313">
        <v>77</v>
      </c>
      <c r="R313">
        <v>70</v>
      </c>
      <c r="S313">
        <v>540</v>
      </c>
      <c r="T313">
        <v>237</v>
      </c>
      <c r="U313">
        <v>303</v>
      </c>
      <c r="V313">
        <v>60</v>
      </c>
      <c r="W313">
        <v>116</v>
      </c>
      <c r="X313">
        <v>52</v>
      </c>
      <c r="Y313">
        <v>171</v>
      </c>
      <c r="Z313">
        <v>89</v>
      </c>
      <c r="AA313">
        <v>13</v>
      </c>
      <c r="AB313" t="s">
        <v>67</v>
      </c>
      <c r="AC313" t="s">
        <v>148</v>
      </c>
      <c r="AD313" t="s">
        <v>144</v>
      </c>
    </row>
    <row r="314" spans="1:30">
      <c r="A314" t="s">
        <v>220</v>
      </c>
      <c r="B314" s="16">
        <v>44501</v>
      </c>
      <c r="C314" s="394">
        <v>44502</v>
      </c>
      <c r="D314" t="s">
        <v>70</v>
      </c>
      <c r="E314">
        <v>10657</v>
      </c>
      <c r="F314">
        <v>813</v>
      </c>
      <c r="G314">
        <v>766</v>
      </c>
      <c r="H314">
        <v>417</v>
      </c>
      <c r="I314">
        <v>227</v>
      </c>
      <c r="J314">
        <v>16</v>
      </c>
      <c r="K314">
        <v>228</v>
      </c>
      <c r="L314">
        <v>186</v>
      </c>
      <c r="M314">
        <v>70</v>
      </c>
      <c r="N314">
        <v>154</v>
      </c>
      <c r="O314">
        <v>705</v>
      </c>
      <c r="P314">
        <v>412</v>
      </c>
      <c r="Q314">
        <v>396</v>
      </c>
      <c r="R314">
        <v>399</v>
      </c>
      <c r="S314">
        <v>1823</v>
      </c>
      <c r="T314">
        <v>931</v>
      </c>
      <c r="U314">
        <v>892</v>
      </c>
      <c r="V314">
        <v>258</v>
      </c>
      <c r="W314">
        <v>594</v>
      </c>
      <c r="X314">
        <v>257</v>
      </c>
      <c r="Y314">
        <v>839</v>
      </c>
      <c r="Z314">
        <v>391</v>
      </c>
      <c r="AA314">
        <v>85</v>
      </c>
      <c r="AB314" t="s">
        <v>74</v>
      </c>
      <c r="AC314" t="s">
        <v>154</v>
      </c>
      <c r="AD314" t="s">
        <v>151</v>
      </c>
    </row>
    <row r="315" spans="1:30">
      <c r="A315" t="s">
        <v>220</v>
      </c>
      <c r="B315" s="16">
        <v>44501</v>
      </c>
      <c r="C315" s="394">
        <v>44502</v>
      </c>
      <c r="D315" t="s">
        <v>96</v>
      </c>
      <c r="E315">
        <v>7293</v>
      </c>
      <c r="F315">
        <v>526</v>
      </c>
      <c r="G315">
        <v>505</v>
      </c>
      <c r="H315">
        <v>226</v>
      </c>
      <c r="I315">
        <v>366</v>
      </c>
      <c r="J315">
        <v>25</v>
      </c>
      <c r="K315">
        <v>94</v>
      </c>
      <c r="L315">
        <v>60</v>
      </c>
      <c r="M315">
        <v>47</v>
      </c>
      <c r="N315">
        <v>56</v>
      </c>
      <c r="O315">
        <v>368</v>
      </c>
      <c r="P315">
        <v>191</v>
      </c>
      <c r="Q315">
        <v>176</v>
      </c>
      <c r="R315">
        <v>170</v>
      </c>
      <c r="S315">
        <v>1102</v>
      </c>
      <c r="T315">
        <v>406</v>
      </c>
      <c r="U315">
        <v>696</v>
      </c>
      <c r="V315">
        <v>109</v>
      </c>
      <c r="W315">
        <v>258</v>
      </c>
      <c r="X315">
        <v>123</v>
      </c>
      <c r="Y315">
        <v>407</v>
      </c>
      <c r="Z315">
        <v>181</v>
      </c>
      <c r="AA315">
        <v>13</v>
      </c>
      <c r="AB315" t="s">
        <v>97</v>
      </c>
      <c r="AC315" t="s">
        <v>179</v>
      </c>
      <c r="AD315" t="s">
        <v>178</v>
      </c>
    </row>
    <row r="316" spans="1:30">
      <c r="A316" t="s">
        <v>220</v>
      </c>
      <c r="B316" s="16">
        <v>44501</v>
      </c>
      <c r="C316" s="394">
        <v>44502</v>
      </c>
      <c r="D316" t="s">
        <v>82</v>
      </c>
      <c r="E316">
        <v>6375</v>
      </c>
      <c r="F316">
        <v>509</v>
      </c>
      <c r="G316">
        <v>480</v>
      </c>
      <c r="H316">
        <v>295</v>
      </c>
      <c r="I316">
        <v>373</v>
      </c>
      <c r="J316">
        <v>44</v>
      </c>
      <c r="K316">
        <v>57</v>
      </c>
      <c r="L316">
        <v>41</v>
      </c>
      <c r="M316">
        <v>35</v>
      </c>
      <c r="N316">
        <v>38</v>
      </c>
      <c r="O316">
        <v>342</v>
      </c>
      <c r="P316">
        <v>213</v>
      </c>
      <c r="Q316">
        <v>213</v>
      </c>
      <c r="R316">
        <v>212</v>
      </c>
      <c r="S316">
        <v>699</v>
      </c>
      <c r="T316">
        <v>313</v>
      </c>
      <c r="U316">
        <v>386</v>
      </c>
      <c r="V316">
        <v>99</v>
      </c>
      <c r="W316">
        <v>195</v>
      </c>
      <c r="X316">
        <v>94</v>
      </c>
      <c r="Y316">
        <v>317</v>
      </c>
      <c r="Z316">
        <v>142</v>
      </c>
      <c r="AA316">
        <v>23</v>
      </c>
      <c r="AB316" t="s">
        <v>84</v>
      </c>
      <c r="AC316" t="s">
        <v>166</v>
      </c>
      <c r="AD316" t="s">
        <v>163</v>
      </c>
    </row>
    <row r="317" spans="1:30">
      <c r="A317" t="s">
        <v>220</v>
      </c>
      <c r="B317" s="16">
        <v>44501</v>
      </c>
      <c r="C317" s="394">
        <v>44502</v>
      </c>
      <c r="D317" t="s">
        <v>54</v>
      </c>
      <c r="E317">
        <v>6524</v>
      </c>
      <c r="F317">
        <v>419</v>
      </c>
      <c r="G317">
        <v>380</v>
      </c>
      <c r="H317">
        <v>215</v>
      </c>
      <c r="I317">
        <v>277</v>
      </c>
      <c r="J317">
        <v>27</v>
      </c>
      <c r="K317">
        <v>98</v>
      </c>
      <c r="L317">
        <v>80</v>
      </c>
      <c r="M317">
        <v>54</v>
      </c>
      <c r="N317">
        <v>70</v>
      </c>
      <c r="O317">
        <v>323</v>
      </c>
      <c r="P317">
        <v>233</v>
      </c>
      <c r="Q317">
        <v>224</v>
      </c>
      <c r="R317">
        <v>219</v>
      </c>
      <c r="S317">
        <v>868</v>
      </c>
      <c r="T317">
        <v>491</v>
      </c>
      <c r="U317">
        <v>377</v>
      </c>
      <c r="V317">
        <v>18</v>
      </c>
      <c r="W317">
        <v>263</v>
      </c>
      <c r="X317">
        <v>87</v>
      </c>
      <c r="Y317">
        <v>394</v>
      </c>
      <c r="Z317">
        <v>204</v>
      </c>
      <c r="AA317">
        <v>37</v>
      </c>
      <c r="AB317" t="s">
        <v>67</v>
      </c>
      <c r="AC317" t="s">
        <v>148</v>
      </c>
      <c r="AD317" t="s">
        <v>142</v>
      </c>
    </row>
    <row r="318" spans="1:30">
      <c r="A318" t="s">
        <v>220</v>
      </c>
      <c r="B318" s="16">
        <v>44501</v>
      </c>
      <c r="C318" s="394">
        <v>44502</v>
      </c>
      <c r="D318" t="s">
        <v>89</v>
      </c>
      <c r="E318">
        <v>11712</v>
      </c>
      <c r="F318">
        <v>869</v>
      </c>
      <c r="G318">
        <v>830</v>
      </c>
      <c r="H318">
        <v>513</v>
      </c>
      <c r="I318">
        <v>397</v>
      </c>
      <c r="J318">
        <v>36</v>
      </c>
      <c r="K318">
        <v>119</v>
      </c>
      <c r="L318">
        <v>95</v>
      </c>
      <c r="M318">
        <v>77</v>
      </c>
      <c r="N318">
        <v>88</v>
      </c>
      <c r="O318">
        <v>552</v>
      </c>
      <c r="P318">
        <v>415</v>
      </c>
      <c r="Q318">
        <v>404</v>
      </c>
      <c r="R318">
        <v>412</v>
      </c>
      <c r="S318">
        <v>1789</v>
      </c>
      <c r="T318">
        <v>954</v>
      </c>
      <c r="U318">
        <v>835</v>
      </c>
      <c r="V318">
        <v>319</v>
      </c>
      <c r="W318">
        <v>315</v>
      </c>
      <c r="X318">
        <v>170</v>
      </c>
      <c r="Y318">
        <v>418</v>
      </c>
      <c r="Z318">
        <v>220</v>
      </c>
      <c r="AA318">
        <v>28</v>
      </c>
      <c r="AB318" t="s">
        <v>91</v>
      </c>
      <c r="AC318" t="s">
        <v>173</v>
      </c>
      <c r="AD318" t="s">
        <v>171</v>
      </c>
    </row>
    <row r="319" spans="1:30">
      <c r="A319" t="s">
        <v>220</v>
      </c>
      <c r="B319" s="16">
        <v>44501</v>
      </c>
      <c r="C319" s="394">
        <v>44502</v>
      </c>
      <c r="D319" t="s">
        <v>101</v>
      </c>
      <c r="E319">
        <v>4563</v>
      </c>
      <c r="F319">
        <v>240</v>
      </c>
      <c r="G319">
        <v>224</v>
      </c>
      <c r="H319">
        <v>210</v>
      </c>
      <c r="I319">
        <v>149</v>
      </c>
      <c r="J319">
        <v>45</v>
      </c>
      <c r="K319">
        <v>30</v>
      </c>
      <c r="L319">
        <v>28</v>
      </c>
      <c r="M319">
        <v>28</v>
      </c>
      <c r="N319">
        <v>25</v>
      </c>
      <c r="O319">
        <v>205</v>
      </c>
      <c r="P319">
        <v>171</v>
      </c>
      <c r="Q319">
        <v>167</v>
      </c>
      <c r="R319">
        <v>164</v>
      </c>
      <c r="S319">
        <v>467</v>
      </c>
      <c r="T319">
        <v>275</v>
      </c>
      <c r="U319">
        <v>192</v>
      </c>
      <c r="V319">
        <v>36</v>
      </c>
      <c r="W319">
        <v>81</v>
      </c>
      <c r="X319">
        <v>47</v>
      </c>
      <c r="Y319">
        <v>133</v>
      </c>
      <c r="Z319">
        <v>76</v>
      </c>
      <c r="AA319">
        <v>17</v>
      </c>
      <c r="AB319" t="s">
        <v>103</v>
      </c>
      <c r="AC319" t="s">
        <v>185</v>
      </c>
      <c r="AD319" t="s">
        <v>183</v>
      </c>
    </row>
    <row r="320" spans="1:30">
      <c r="A320" t="s">
        <v>220</v>
      </c>
      <c r="B320" s="16">
        <v>44501</v>
      </c>
      <c r="C320" s="394">
        <v>44502</v>
      </c>
      <c r="D320" t="s">
        <v>66</v>
      </c>
      <c r="E320">
        <v>3250</v>
      </c>
      <c r="F320">
        <v>126</v>
      </c>
      <c r="G320">
        <v>113</v>
      </c>
      <c r="H320">
        <v>82</v>
      </c>
      <c r="I320">
        <v>66</v>
      </c>
      <c r="J320">
        <v>7</v>
      </c>
      <c r="K320">
        <v>42</v>
      </c>
      <c r="L320">
        <v>34</v>
      </c>
      <c r="M320">
        <v>6</v>
      </c>
      <c r="N320">
        <v>11</v>
      </c>
      <c r="O320">
        <v>192</v>
      </c>
      <c r="P320">
        <v>131</v>
      </c>
      <c r="Q320">
        <v>130</v>
      </c>
      <c r="R320">
        <v>128</v>
      </c>
      <c r="S320">
        <v>298</v>
      </c>
      <c r="T320">
        <v>197</v>
      </c>
      <c r="U320">
        <v>101</v>
      </c>
      <c r="V320">
        <v>27</v>
      </c>
      <c r="W320">
        <v>76</v>
      </c>
      <c r="X320">
        <v>35</v>
      </c>
      <c r="Y320">
        <v>113</v>
      </c>
      <c r="Z320">
        <v>53</v>
      </c>
      <c r="AA320">
        <v>20</v>
      </c>
      <c r="AB320" t="s">
        <v>67</v>
      </c>
      <c r="AC320" t="s">
        <v>148</v>
      </c>
      <c r="AD320" t="s">
        <v>146</v>
      </c>
    </row>
    <row r="321" spans="1:30">
      <c r="A321" t="s">
        <v>220</v>
      </c>
      <c r="B321" s="16">
        <v>44501</v>
      </c>
      <c r="C321" s="394">
        <v>44502</v>
      </c>
      <c r="D321" t="s">
        <v>80</v>
      </c>
      <c r="E321">
        <v>5553</v>
      </c>
      <c r="F321">
        <v>355</v>
      </c>
      <c r="G321">
        <v>341</v>
      </c>
      <c r="H321">
        <v>284</v>
      </c>
      <c r="I321">
        <v>82</v>
      </c>
      <c r="J321">
        <v>4</v>
      </c>
      <c r="K321">
        <v>24</v>
      </c>
      <c r="L321">
        <v>14</v>
      </c>
      <c r="M321">
        <v>13</v>
      </c>
      <c r="N321">
        <v>14</v>
      </c>
      <c r="O321">
        <v>235</v>
      </c>
      <c r="P321">
        <v>214</v>
      </c>
      <c r="Q321">
        <v>213</v>
      </c>
      <c r="R321">
        <v>212</v>
      </c>
      <c r="S321">
        <v>591</v>
      </c>
      <c r="T321">
        <v>341</v>
      </c>
      <c r="U321">
        <v>250</v>
      </c>
      <c r="V321">
        <v>124</v>
      </c>
      <c r="W321">
        <v>142</v>
      </c>
      <c r="X321">
        <v>83</v>
      </c>
      <c r="Y321">
        <v>208</v>
      </c>
      <c r="Z321">
        <v>108</v>
      </c>
      <c r="AA321">
        <v>17</v>
      </c>
      <c r="AB321" t="s">
        <v>84</v>
      </c>
      <c r="AC321" t="s">
        <v>166</v>
      </c>
      <c r="AD321" t="s">
        <v>161</v>
      </c>
    </row>
    <row r="322" spans="1:30">
      <c r="A322" t="s">
        <v>220</v>
      </c>
      <c r="B322" s="16">
        <v>44501</v>
      </c>
      <c r="C322" s="394">
        <v>44502</v>
      </c>
      <c r="D322" t="s">
        <v>52</v>
      </c>
      <c r="E322">
        <v>3067</v>
      </c>
      <c r="F322">
        <v>224</v>
      </c>
      <c r="G322">
        <v>209</v>
      </c>
      <c r="H322">
        <v>149</v>
      </c>
      <c r="I322">
        <v>78</v>
      </c>
      <c r="J322">
        <v>11</v>
      </c>
      <c r="K322">
        <v>110</v>
      </c>
      <c r="L322">
        <v>97</v>
      </c>
      <c r="M322">
        <v>64</v>
      </c>
      <c r="N322">
        <v>22</v>
      </c>
      <c r="O322">
        <v>222</v>
      </c>
      <c r="P322">
        <v>165</v>
      </c>
      <c r="Q322">
        <v>162</v>
      </c>
      <c r="R322">
        <v>162</v>
      </c>
      <c r="S322">
        <v>750</v>
      </c>
      <c r="T322">
        <v>534</v>
      </c>
      <c r="U322">
        <v>216</v>
      </c>
      <c r="V322">
        <v>38</v>
      </c>
      <c r="W322">
        <v>207</v>
      </c>
      <c r="X322">
        <v>70</v>
      </c>
      <c r="Y322">
        <v>268</v>
      </c>
      <c r="Z322">
        <v>167</v>
      </c>
      <c r="AA322">
        <v>33</v>
      </c>
      <c r="AB322" t="s">
        <v>67</v>
      </c>
      <c r="AC322" t="s">
        <v>148</v>
      </c>
      <c r="AD322" t="s">
        <v>141</v>
      </c>
    </row>
    <row r="323" spans="1:30">
      <c r="A323" t="s">
        <v>220</v>
      </c>
      <c r="B323" s="16">
        <v>44501</v>
      </c>
      <c r="C323" s="394">
        <v>44502</v>
      </c>
      <c r="D323" t="s">
        <v>87</v>
      </c>
      <c r="E323">
        <v>3008</v>
      </c>
      <c r="F323">
        <v>259</v>
      </c>
      <c r="G323">
        <v>247</v>
      </c>
      <c r="H323">
        <v>156</v>
      </c>
      <c r="I323">
        <v>179</v>
      </c>
      <c r="J323">
        <v>15</v>
      </c>
      <c r="K323">
        <v>24</v>
      </c>
      <c r="L323">
        <v>20</v>
      </c>
      <c r="M323">
        <v>17</v>
      </c>
      <c r="N323">
        <v>19</v>
      </c>
      <c r="O323">
        <v>135</v>
      </c>
      <c r="P323">
        <v>106</v>
      </c>
      <c r="Q323">
        <v>106</v>
      </c>
      <c r="R323">
        <v>106</v>
      </c>
      <c r="S323">
        <v>452</v>
      </c>
      <c r="T323">
        <v>238</v>
      </c>
      <c r="U323">
        <v>214</v>
      </c>
      <c r="V323">
        <v>81</v>
      </c>
      <c r="W323">
        <v>90</v>
      </c>
      <c r="X323">
        <v>47</v>
      </c>
      <c r="Y323">
        <v>122</v>
      </c>
      <c r="Z323">
        <v>78</v>
      </c>
      <c r="AA323">
        <v>6</v>
      </c>
      <c r="AB323" t="s">
        <v>91</v>
      </c>
      <c r="AC323" t="s">
        <v>173</v>
      </c>
      <c r="AD323" t="s">
        <v>169</v>
      </c>
    </row>
    <row r="324" spans="1:30">
      <c r="A324" t="s">
        <v>220</v>
      </c>
      <c r="B324" s="16">
        <v>44501</v>
      </c>
      <c r="C324" s="394">
        <v>44502</v>
      </c>
      <c r="D324" t="s">
        <v>90</v>
      </c>
      <c r="E324">
        <v>2915</v>
      </c>
      <c r="F324">
        <v>219</v>
      </c>
      <c r="G324">
        <v>210</v>
      </c>
      <c r="H324">
        <v>158</v>
      </c>
      <c r="I324">
        <v>131</v>
      </c>
      <c r="J324">
        <v>14</v>
      </c>
      <c r="K324">
        <v>27</v>
      </c>
      <c r="L324">
        <v>22</v>
      </c>
      <c r="M324">
        <v>19</v>
      </c>
      <c r="N324">
        <v>11</v>
      </c>
      <c r="O324">
        <v>96</v>
      </c>
      <c r="P324">
        <v>84</v>
      </c>
      <c r="Q324">
        <v>84</v>
      </c>
      <c r="R324">
        <v>81</v>
      </c>
      <c r="S324">
        <v>336</v>
      </c>
      <c r="T324">
        <v>177</v>
      </c>
      <c r="U324">
        <v>159</v>
      </c>
      <c r="V324">
        <v>37</v>
      </c>
      <c r="W324">
        <v>85</v>
      </c>
      <c r="X324">
        <v>41</v>
      </c>
      <c r="Y324">
        <v>124</v>
      </c>
      <c r="Z324">
        <v>49</v>
      </c>
      <c r="AA324">
        <v>6</v>
      </c>
      <c r="AB324" t="s">
        <v>91</v>
      </c>
      <c r="AC324" t="s">
        <v>173</v>
      </c>
      <c r="AD324" t="s">
        <v>172</v>
      </c>
    </row>
    <row r="325" spans="1:30">
      <c r="A325" t="s">
        <v>220</v>
      </c>
      <c r="B325" s="16">
        <v>44501</v>
      </c>
      <c r="C325" s="394">
        <v>44502</v>
      </c>
      <c r="D325" t="s">
        <v>93</v>
      </c>
      <c r="E325">
        <v>2215</v>
      </c>
      <c r="F325">
        <v>214</v>
      </c>
      <c r="G325">
        <v>203</v>
      </c>
      <c r="H325">
        <v>149</v>
      </c>
      <c r="I325">
        <v>60</v>
      </c>
      <c r="J325">
        <v>7</v>
      </c>
      <c r="K325">
        <v>17</v>
      </c>
      <c r="L325">
        <v>9</v>
      </c>
      <c r="M325">
        <v>8</v>
      </c>
      <c r="N325">
        <v>9</v>
      </c>
      <c r="O325">
        <v>152</v>
      </c>
      <c r="P325">
        <v>112</v>
      </c>
      <c r="Q325">
        <v>109</v>
      </c>
      <c r="R325">
        <v>109</v>
      </c>
      <c r="S325">
        <v>373</v>
      </c>
      <c r="T325">
        <v>165</v>
      </c>
      <c r="U325">
        <v>208</v>
      </c>
      <c r="V325">
        <v>58</v>
      </c>
      <c r="W325">
        <v>88</v>
      </c>
      <c r="X325">
        <v>43</v>
      </c>
      <c r="Y325">
        <v>135</v>
      </c>
      <c r="Z325">
        <v>60</v>
      </c>
      <c r="AA325">
        <v>19</v>
      </c>
      <c r="AB325" t="s">
        <v>97</v>
      </c>
      <c r="AC325" t="s">
        <v>179</v>
      </c>
      <c r="AD325" t="s">
        <v>175</v>
      </c>
    </row>
    <row r="326" spans="1:30">
      <c r="A326" t="s">
        <v>220</v>
      </c>
      <c r="B326" s="16">
        <v>44501</v>
      </c>
      <c r="C326" s="394">
        <v>44502</v>
      </c>
      <c r="D326" t="s">
        <v>81</v>
      </c>
      <c r="E326">
        <v>2769</v>
      </c>
      <c r="F326">
        <v>205</v>
      </c>
      <c r="G326">
        <v>191</v>
      </c>
      <c r="H326">
        <v>72</v>
      </c>
      <c r="I326">
        <v>161</v>
      </c>
      <c r="J326">
        <v>26</v>
      </c>
      <c r="K326">
        <v>12</v>
      </c>
      <c r="L326">
        <v>10</v>
      </c>
      <c r="M326">
        <v>8</v>
      </c>
      <c r="N326">
        <v>10</v>
      </c>
      <c r="O326">
        <v>101</v>
      </c>
      <c r="P326">
        <v>73</v>
      </c>
      <c r="Q326">
        <v>71</v>
      </c>
      <c r="R326">
        <v>71</v>
      </c>
      <c r="S326">
        <v>340</v>
      </c>
      <c r="T326">
        <v>179</v>
      </c>
      <c r="U326">
        <v>161</v>
      </c>
      <c r="V326">
        <v>64</v>
      </c>
      <c r="W326">
        <v>65</v>
      </c>
      <c r="X326">
        <v>31</v>
      </c>
      <c r="Y326">
        <v>135</v>
      </c>
      <c r="Z326">
        <v>56</v>
      </c>
      <c r="AA326">
        <v>6</v>
      </c>
      <c r="AB326" t="s">
        <v>84</v>
      </c>
      <c r="AC326" t="s">
        <v>166</v>
      </c>
      <c r="AD326" t="s">
        <v>162</v>
      </c>
    </row>
    <row r="327" spans="1:30">
      <c r="A327" t="s">
        <v>220</v>
      </c>
      <c r="B327" s="16">
        <v>44501</v>
      </c>
      <c r="C327" s="394">
        <v>44502</v>
      </c>
      <c r="D327" t="s">
        <v>69</v>
      </c>
      <c r="E327">
        <v>7028</v>
      </c>
      <c r="F327">
        <v>489</v>
      </c>
      <c r="G327">
        <v>458</v>
      </c>
      <c r="H327">
        <v>345</v>
      </c>
      <c r="I327">
        <v>151</v>
      </c>
      <c r="J327">
        <v>10</v>
      </c>
      <c r="K327">
        <v>110</v>
      </c>
      <c r="L327">
        <v>79</v>
      </c>
      <c r="M327">
        <v>27</v>
      </c>
      <c r="N327">
        <v>42</v>
      </c>
      <c r="O327">
        <v>462</v>
      </c>
      <c r="P327">
        <v>314</v>
      </c>
      <c r="Q327">
        <v>301</v>
      </c>
      <c r="R327">
        <v>288</v>
      </c>
      <c r="S327">
        <v>1244</v>
      </c>
      <c r="T327">
        <v>782</v>
      </c>
      <c r="U327">
        <v>462</v>
      </c>
      <c r="V327">
        <v>196</v>
      </c>
      <c r="W327">
        <v>325</v>
      </c>
      <c r="X327">
        <v>154</v>
      </c>
      <c r="Y327">
        <v>507</v>
      </c>
      <c r="Z327">
        <v>210</v>
      </c>
      <c r="AA327">
        <v>17</v>
      </c>
      <c r="AB327" t="s">
        <v>74</v>
      </c>
      <c r="AC327" t="s">
        <v>154</v>
      </c>
      <c r="AD327" t="s">
        <v>150</v>
      </c>
    </row>
    <row r="328" spans="1:30">
      <c r="A328" t="s">
        <v>220</v>
      </c>
      <c r="B328" s="16">
        <v>44501</v>
      </c>
      <c r="C328" s="394">
        <v>44502</v>
      </c>
      <c r="D328" t="s">
        <v>65</v>
      </c>
      <c r="E328">
        <v>4893</v>
      </c>
      <c r="F328">
        <v>414</v>
      </c>
      <c r="G328">
        <v>390</v>
      </c>
      <c r="H328">
        <v>157</v>
      </c>
      <c r="I328">
        <v>266</v>
      </c>
      <c r="J328">
        <v>22</v>
      </c>
      <c r="K328">
        <v>78</v>
      </c>
      <c r="L328">
        <v>28</v>
      </c>
      <c r="M328">
        <v>15</v>
      </c>
      <c r="N328">
        <v>16</v>
      </c>
      <c r="O328">
        <v>316</v>
      </c>
      <c r="P328">
        <v>103</v>
      </c>
      <c r="Q328">
        <v>102</v>
      </c>
      <c r="R328">
        <v>98</v>
      </c>
      <c r="S328">
        <v>716</v>
      </c>
      <c r="T328">
        <v>255</v>
      </c>
      <c r="U328">
        <v>461</v>
      </c>
      <c r="V328">
        <v>42</v>
      </c>
      <c r="W328">
        <v>164</v>
      </c>
      <c r="X328">
        <v>85</v>
      </c>
      <c r="Y328">
        <v>268</v>
      </c>
      <c r="Z328">
        <v>99</v>
      </c>
      <c r="AA328">
        <v>32</v>
      </c>
      <c r="AB328" t="s">
        <v>67</v>
      </c>
      <c r="AC328" t="s">
        <v>148</v>
      </c>
      <c r="AD328" t="s">
        <v>145</v>
      </c>
    </row>
    <row r="329" spans="1:30">
      <c r="A329" t="s">
        <v>220</v>
      </c>
      <c r="B329" s="16">
        <v>44531</v>
      </c>
      <c r="C329" s="394">
        <v>44532</v>
      </c>
      <c r="D329" t="s">
        <v>94</v>
      </c>
      <c r="E329">
        <v>6215</v>
      </c>
      <c r="F329">
        <v>542</v>
      </c>
      <c r="G329">
        <v>511</v>
      </c>
      <c r="H329">
        <v>352</v>
      </c>
      <c r="I329">
        <v>350</v>
      </c>
      <c r="J329">
        <v>50</v>
      </c>
      <c r="K329">
        <v>81</v>
      </c>
      <c r="L329">
        <v>58</v>
      </c>
      <c r="M329">
        <v>39</v>
      </c>
      <c r="N329">
        <v>39</v>
      </c>
      <c r="O329">
        <v>337</v>
      </c>
      <c r="P329">
        <v>221</v>
      </c>
      <c r="Q329">
        <v>214</v>
      </c>
      <c r="R329">
        <v>216</v>
      </c>
      <c r="S329">
        <v>887</v>
      </c>
      <c r="T329">
        <v>430</v>
      </c>
      <c r="U329">
        <v>457</v>
      </c>
      <c r="V329">
        <v>102</v>
      </c>
      <c r="W329">
        <v>230</v>
      </c>
      <c r="X329">
        <v>103</v>
      </c>
      <c r="Y329">
        <v>322</v>
      </c>
      <c r="Z329">
        <v>140</v>
      </c>
      <c r="AA329">
        <v>13</v>
      </c>
      <c r="AB329" t="s">
        <v>97</v>
      </c>
      <c r="AC329" t="s">
        <v>179</v>
      </c>
      <c r="AD329" t="s">
        <v>176</v>
      </c>
    </row>
    <row r="330" spans="1:30">
      <c r="A330" t="s">
        <v>220</v>
      </c>
      <c r="B330" s="16">
        <v>44531</v>
      </c>
      <c r="C330" s="394">
        <v>44532</v>
      </c>
      <c r="D330" t="s">
        <v>61</v>
      </c>
      <c r="E330">
        <v>7297</v>
      </c>
      <c r="F330">
        <v>360</v>
      </c>
      <c r="G330">
        <v>329</v>
      </c>
      <c r="H330">
        <v>216</v>
      </c>
      <c r="I330">
        <v>229</v>
      </c>
      <c r="J330">
        <v>37</v>
      </c>
      <c r="K330">
        <v>107</v>
      </c>
      <c r="L330">
        <v>83</v>
      </c>
      <c r="M330">
        <v>15</v>
      </c>
      <c r="N330">
        <v>68</v>
      </c>
      <c r="O330">
        <v>369</v>
      </c>
      <c r="P330">
        <v>174</v>
      </c>
      <c r="Q330">
        <v>167</v>
      </c>
      <c r="R330">
        <v>169</v>
      </c>
      <c r="S330">
        <v>809</v>
      </c>
      <c r="T330">
        <v>418</v>
      </c>
      <c r="U330">
        <v>391</v>
      </c>
      <c r="V330">
        <v>119</v>
      </c>
      <c r="W330">
        <v>153</v>
      </c>
      <c r="X330">
        <v>81</v>
      </c>
      <c r="Y330">
        <v>261</v>
      </c>
      <c r="Z330">
        <v>139</v>
      </c>
      <c r="AA330">
        <v>28</v>
      </c>
      <c r="AB330" t="s">
        <v>67</v>
      </c>
      <c r="AC330" t="s">
        <v>148</v>
      </c>
      <c r="AD330" t="s">
        <v>143</v>
      </c>
    </row>
    <row r="331" spans="1:30">
      <c r="A331" t="s">
        <v>220</v>
      </c>
      <c r="B331" s="16">
        <v>44531</v>
      </c>
      <c r="C331" s="394">
        <v>44532</v>
      </c>
      <c r="D331" t="s">
        <v>98</v>
      </c>
      <c r="E331">
        <v>5294</v>
      </c>
      <c r="F331">
        <v>436</v>
      </c>
      <c r="G331">
        <v>415</v>
      </c>
      <c r="H331">
        <v>318</v>
      </c>
      <c r="I331">
        <v>282</v>
      </c>
      <c r="J331">
        <v>34</v>
      </c>
      <c r="K331">
        <v>60</v>
      </c>
      <c r="L331">
        <v>33</v>
      </c>
      <c r="M331">
        <v>24</v>
      </c>
      <c r="N331">
        <v>30</v>
      </c>
      <c r="O331">
        <v>247</v>
      </c>
      <c r="P331">
        <v>128</v>
      </c>
      <c r="Q331">
        <v>126</v>
      </c>
      <c r="R331">
        <v>125</v>
      </c>
      <c r="S331">
        <v>847</v>
      </c>
      <c r="T331">
        <v>354</v>
      </c>
      <c r="U331">
        <v>493</v>
      </c>
      <c r="V331">
        <v>182</v>
      </c>
      <c r="W331">
        <v>171</v>
      </c>
      <c r="X331">
        <v>101</v>
      </c>
      <c r="Y331">
        <v>297</v>
      </c>
      <c r="Z331">
        <v>136</v>
      </c>
      <c r="AA331">
        <v>24</v>
      </c>
      <c r="AB331" t="s">
        <v>103</v>
      </c>
      <c r="AC331" t="s">
        <v>185</v>
      </c>
      <c r="AD331" t="s">
        <v>180</v>
      </c>
    </row>
    <row r="332" spans="1:30">
      <c r="A332" t="s">
        <v>220</v>
      </c>
      <c r="B332" s="16">
        <v>44531</v>
      </c>
      <c r="C332" s="394">
        <v>44532</v>
      </c>
      <c r="D332" t="s">
        <v>75</v>
      </c>
      <c r="E332">
        <v>7758</v>
      </c>
      <c r="F332">
        <v>736</v>
      </c>
      <c r="G332">
        <v>697</v>
      </c>
      <c r="H332">
        <v>612</v>
      </c>
      <c r="I332">
        <v>386</v>
      </c>
      <c r="J332">
        <v>63</v>
      </c>
      <c r="K332">
        <v>88</v>
      </c>
      <c r="L332">
        <v>81</v>
      </c>
      <c r="M332">
        <v>77</v>
      </c>
      <c r="N332">
        <v>74</v>
      </c>
      <c r="O332">
        <v>338</v>
      </c>
      <c r="P332">
        <v>312</v>
      </c>
      <c r="Q332">
        <v>311</v>
      </c>
      <c r="R332">
        <v>309</v>
      </c>
      <c r="S332">
        <v>1135</v>
      </c>
      <c r="T332">
        <v>600</v>
      </c>
      <c r="U332">
        <v>535</v>
      </c>
      <c r="V332">
        <v>203</v>
      </c>
      <c r="W332">
        <v>353</v>
      </c>
      <c r="X332">
        <v>202</v>
      </c>
      <c r="Y332">
        <v>508</v>
      </c>
      <c r="Z332">
        <v>230</v>
      </c>
      <c r="AA332">
        <v>68</v>
      </c>
      <c r="AB332" t="s">
        <v>77</v>
      </c>
      <c r="AC332" t="s">
        <v>158</v>
      </c>
      <c r="AD332" t="s">
        <v>155</v>
      </c>
    </row>
    <row r="333" spans="1:30">
      <c r="A333" t="s">
        <v>220</v>
      </c>
      <c r="B333" s="16">
        <v>44531</v>
      </c>
      <c r="C333" s="394">
        <v>44532</v>
      </c>
      <c r="D333" t="s">
        <v>99</v>
      </c>
      <c r="E333">
        <v>6251</v>
      </c>
      <c r="F333">
        <v>560</v>
      </c>
      <c r="G333">
        <v>541</v>
      </c>
      <c r="H333">
        <v>493</v>
      </c>
      <c r="I333">
        <v>456</v>
      </c>
      <c r="J333">
        <v>129</v>
      </c>
      <c r="K333">
        <v>37</v>
      </c>
      <c r="L333">
        <v>31</v>
      </c>
      <c r="M333">
        <v>27</v>
      </c>
      <c r="N333">
        <v>31</v>
      </c>
      <c r="O333">
        <v>355</v>
      </c>
      <c r="P333">
        <v>293</v>
      </c>
      <c r="Q333">
        <v>293</v>
      </c>
      <c r="R333">
        <v>285</v>
      </c>
      <c r="S333">
        <v>732</v>
      </c>
      <c r="T333">
        <v>474</v>
      </c>
      <c r="U333">
        <v>258</v>
      </c>
      <c r="V333">
        <v>108</v>
      </c>
      <c r="W333">
        <v>199</v>
      </c>
      <c r="X333">
        <v>128</v>
      </c>
      <c r="Y333">
        <v>326</v>
      </c>
      <c r="Z333">
        <v>155</v>
      </c>
      <c r="AA333">
        <v>25</v>
      </c>
      <c r="AB333" t="s">
        <v>103</v>
      </c>
      <c r="AC333" t="s">
        <v>185</v>
      </c>
      <c r="AD333" t="s">
        <v>221</v>
      </c>
    </row>
    <row r="334" spans="1:30">
      <c r="A334" t="s">
        <v>220</v>
      </c>
      <c r="B334" s="16">
        <v>44531</v>
      </c>
      <c r="C334" s="394">
        <v>44532</v>
      </c>
      <c r="D334" t="s">
        <v>78</v>
      </c>
      <c r="E334">
        <v>11746</v>
      </c>
      <c r="F334">
        <v>783</v>
      </c>
      <c r="G334">
        <v>719</v>
      </c>
      <c r="H334">
        <v>420</v>
      </c>
      <c r="I334">
        <v>533</v>
      </c>
      <c r="J334">
        <v>60</v>
      </c>
      <c r="K334">
        <v>107</v>
      </c>
      <c r="L334">
        <v>94</v>
      </c>
      <c r="M334">
        <v>91</v>
      </c>
      <c r="N334">
        <v>90</v>
      </c>
      <c r="O334">
        <v>596</v>
      </c>
      <c r="P334">
        <v>262</v>
      </c>
      <c r="Q334">
        <v>257</v>
      </c>
      <c r="R334">
        <v>254</v>
      </c>
      <c r="S334">
        <v>1428</v>
      </c>
      <c r="T334">
        <v>567</v>
      </c>
      <c r="U334">
        <v>861</v>
      </c>
      <c r="V334">
        <v>109</v>
      </c>
      <c r="W334">
        <v>360</v>
      </c>
      <c r="X334">
        <v>174</v>
      </c>
      <c r="Y334">
        <v>570</v>
      </c>
      <c r="Z334">
        <v>228</v>
      </c>
      <c r="AA334">
        <v>38</v>
      </c>
      <c r="AB334" t="s">
        <v>84</v>
      </c>
      <c r="AC334" t="s">
        <v>166</v>
      </c>
      <c r="AD334" t="s">
        <v>159</v>
      </c>
    </row>
    <row r="335" spans="1:30">
      <c r="A335" t="s">
        <v>220</v>
      </c>
      <c r="B335" s="16">
        <v>44531</v>
      </c>
      <c r="C335" s="394">
        <v>44532</v>
      </c>
      <c r="D335" t="s">
        <v>76</v>
      </c>
      <c r="E335">
        <v>8426</v>
      </c>
      <c r="F335">
        <v>803</v>
      </c>
      <c r="G335">
        <v>776</v>
      </c>
      <c r="H335">
        <v>679</v>
      </c>
      <c r="I335">
        <v>475</v>
      </c>
      <c r="J335">
        <v>100</v>
      </c>
      <c r="K335">
        <v>46</v>
      </c>
      <c r="L335">
        <v>43</v>
      </c>
      <c r="M335">
        <v>40</v>
      </c>
      <c r="N335">
        <v>43</v>
      </c>
      <c r="O335">
        <v>441</v>
      </c>
      <c r="P335">
        <v>373</v>
      </c>
      <c r="Q335">
        <v>368</v>
      </c>
      <c r="R335">
        <v>366</v>
      </c>
      <c r="S335">
        <v>1091</v>
      </c>
      <c r="T335">
        <v>649</v>
      </c>
      <c r="U335">
        <v>442</v>
      </c>
      <c r="V335">
        <v>151</v>
      </c>
      <c r="W335">
        <v>347</v>
      </c>
      <c r="X335">
        <v>196</v>
      </c>
      <c r="Y335">
        <v>449</v>
      </c>
      <c r="Z335">
        <v>187</v>
      </c>
      <c r="AA335">
        <v>73</v>
      </c>
      <c r="AB335" t="s">
        <v>77</v>
      </c>
      <c r="AC335" t="s">
        <v>158</v>
      </c>
      <c r="AD335" t="s">
        <v>156</v>
      </c>
    </row>
    <row r="336" spans="1:30">
      <c r="A336" t="s">
        <v>220</v>
      </c>
      <c r="B336" s="16">
        <v>44531</v>
      </c>
      <c r="C336" s="394">
        <v>44532</v>
      </c>
      <c r="D336" t="s">
        <v>79</v>
      </c>
      <c r="E336">
        <v>8310</v>
      </c>
      <c r="F336">
        <v>402</v>
      </c>
      <c r="G336">
        <v>369</v>
      </c>
      <c r="H336">
        <v>283</v>
      </c>
      <c r="I336">
        <v>216</v>
      </c>
      <c r="J336">
        <v>23</v>
      </c>
      <c r="K336">
        <v>33</v>
      </c>
      <c r="L336">
        <v>25</v>
      </c>
      <c r="M336">
        <v>19</v>
      </c>
      <c r="N336">
        <v>25</v>
      </c>
      <c r="O336">
        <v>325</v>
      </c>
      <c r="P336">
        <v>257</v>
      </c>
      <c r="Q336">
        <v>254</v>
      </c>
      <c r="R336">
        <v>254</v>
      </c>
      <c r="S336">
        <v>750</v>
      </c>
      <c r="T336">
        <v>333</v>
      </c>
      <c r="U336">
        <v>417</v>
      </c>
      <c r="V336">
        <v>100</v>
      </c>
      <c r="W336">
        <v>149</v>
      </c>
      <c r="X336">
        <v>84</v>
      </c>
      <c r="Y336">
        <v>259</v>
      </c>
      <c r="Z336">
        <v>135</v>
      </c>
      <c r="AA336">
        <v>24</v>
      </c>
      <c r="AB336" t="s">
        <v>84</v>
      </c>
      <c r="AC336" t="s">
        <v>166</v>
      </c>
      <c r="AD336" t="s">
        <v>160</v>
      </c>
    </row>
    <row r="337" spans="1:30">
      <c r="A337" t="s">
        <v>220</v>
      </c>
      <c r="B337" s="16">
        <v>44531</v>
      </c>
      <c r="C337" s="394">
        <v>44532</v>
      </c>
      <c r="D337" t="s">
        <v>86</v>
      </c>
      <c r="E337">
        <v>1687</v>
      </c>
      <c r="F337">
        <v>138</v>
      </c>
      <c r="G337">
        <v>135</v>
      </c>
      <c r="H337">
        <v>87</v>
      </c>
      <c r="I337">
        <v>111</v>
      </c>
      <c r="J337">
        <v>15</v>
      </c>
      <c r="K337">
        <v>19</v>
      </c>
      <c r="L337">
        <v>13</v>
      </c>
      <c r="M337">
        <v>10</v>
      </c>
      <c r="N337">
        <v>8</v>
      </c>
      <c r="O337">
        <v>84</v>
      </c>
      <c r="P337">
        <v>61</v>
      </c>
      <c r="Q337">
        <v>61</v>
      </c>
      <c r="R337">
        <v>61</v>
      </c>
      <c r="S337">
        <v>266</v>
      </c>
      <c r="T337">
        <v>102</v>
      </c>
      <c r="U337">
        <v>164</v>
      </c>
      <c r="V337">
        <v>15</v>
      </c>
      <c r="W337">
        <v>69</v>
      </c>
      <c r="X337">
        <v>32</v>
      </c>
      <c r="Y337">
        <v>77</v>
      </c>
      <c r="Z337">
        <v>24</v>
      </c>
      <c r="AA337">
        <v>6</v>
      </c>
      <c r="AB337" t="s">
        <v>91</v>
      </c>
      <c r="AC337" t="s">
        <v>173</v>
      </c>
      <c r="AD337" t="s">
        <v>168</v>
      </c>
    </row>
    <row r="338" spans="1:30">
      <c r="A338" t="s">
        <v>220</v>
      </c>
      <c r="B338" s="16">
        <v>44531</v>
      </c>
      <c r="C338" s="394">
        <v>44532</v>
      </c>
      <c r="D338" t="s">
        <v>102</v>
      </c>
      <c r="E338">
        <v>12881</v>
      </c>
      <c r="F338">
        <v>784</v>
      </c>
      <c r="G338">
        <v>728</v>
      </c>
      <c r="H338">
        <v>468</v>
      </c>
      <c r="I338">
        <v>564</v>
      </c>
      <c r="J338">
        <v>68</v>
      </c>
      <c r="K338">
        <v>110</v>
      </c>
      <c r="L338">
        <v>68</v>
      </c>
      <c r="M338">
        <v>61</v>
      </c>
      <c r="N338">
        <v>64</v>
      </c>
      <c r="O338">
        <v>544</v>
      </c>
      <c r="P338">
        <v>174</v>
      </c>
      <c r="Q338">
        <v>166</v>
      </c>
      <c r="R338">
        <v>165</v>
      </c>
      <c r="S338">
        <v>1470</v>
      </c>
      <c r="T338">
        <v>814</v>
      </c>
      <c r="U338">
        <v>656</v>
      </c>
      <c r="V338">
        <v>165</v>
      </c>
      <c r="W338">
        <v>323</v>
      </c>
      <c r="X338">
        <v>180</v>
      </c>
      <c r="Y338">
        <v>512</v>
      </c>
      <c r="Z338">
        <v>262</v>
      </c>
      <c r="AA338">
        <v>32</v>
      </c>
      <c r="AB338" t="s">
        <v>103</v>
      </c>
      <c r="AC338" t="s">
        <v>185</v>
      </c>
      <c r="AD338" t="s">
        <v>184</v>
      </c>
    </row>
    <row r="339" spans="1:30">
      <c r="A339" t="s">
        <v>220</v>
      </c>
      <c r="B339" s="16">
        <v>44531</v>
      </c>
      <c r="C339" s="394">
        <v>44532</v>
      </c>
      <c r="D339" t="s">
        <v>100</v>
      </c>
      <c r="E339">
        <v>5832</v>
      </c>
      <c r="F339">
        <v>463</v>
      </c>
      <c r="G339">
        <v>434</v>
      </c>
      <c r="H339">
        <v>148</v>
      </c>
      <c r="I339">
        <v>320</v>
      </c>
      <c r="J339">
        <v>29</v>
      </c>
      <c r="K339">
        <v>64</v>
      </c>
      <c r="L339">
        <v>28</v>
      </c>
      <c r="M339">
        <v>14</v>
      </c>
      <c r="N339">
        <v>19</v>
      </c>
      <c r="O339">
        <v>268</v>
      </c>
      <c r="P339">
        <v>119</v>
      </c>
      <c r="Q339">
        <v>105</v>
      </c>
      <c r="R339">
        <v>100</v>
      </c>
      <c r="S339">
        <v>815</v>
      </c>
      <c r="T339">
        <v>293</v>
      </c>
      <c r="U339">
        <v>522</v>
      </c>
      <c r="V339">
        <v>98</v>
      </c>
      <c r="W339">
        <v>202</v>
      </c>
      <c r="X339">
        <v>112</v>
      </c>
      <c r="Y339">
        <v>295</v>
      </c>
      <c r="Z339">
        <v>157</v>
      </c>
      <c r="AA339">
        <v>44</v>
      </c>
      <c r="AB339" t="s">
        <v>103</v>
      </c>
      <c r="AC339" t="s">
        <v>185</v>
      </c>
      <c r="AD339" t="s">
        <v>182</v>
      </c>
    </row>
    <row r="340" spans="1:30">
      <c r="A340" t="s">
        <v>220</v>
      </c>
      <c r="B340" s="16">
        <v>44531</v>
      </c>
      <c r="C340" s="394">
        <v>44532</v>
      </c>
      <c r="D340" t="s">
        <v>71</v>
      </c>
      <c r="E340">
        <v>5713</v>
      </c>
      <c r="F340">
        <v>346</v>
      </c>
      <c r="G340">
        <v>320</v>
      </c>
      <c r="H340">
        <v>139</v>
      </c>
      <c r="I340">
        <v>140</v>
      </c>
      <c r="J340">
        <v>7</v>
      </c>
      <c r="K340">
        <v>74</v>
      </c>
      <c r="L340">
        <v>43</v>
      </c>
      <c r="M340">
        <v>5</v>
      </c>
      <c r="N340">
        <v>34</v>
      </c>
      <c r="O340">
        <v>324</v>
      </c>
      <c r="P340">
        <v>180</v>
      </c>
      <c r="Q340">
        <v>178</v>
      </c>
      <c r="R340">
        <v>176</v>
      </c>
      <c r="S340">
        <v>1087</v>
      </c>
      <c r="T340">
        <v>423</v>
      </c>
      <c r="U340">
        <v>664</v>
      </c>
      <c r="V340">
        <v>39</v>
      </c>
      <c r="W340">
        <v>282</v>
      </c>
      <c r="X340">
        <v>125</v>
      </c>
      <c r="Y340">
        <v>478</v>
      </c>
      <c r="Z340">
        <v>275</v>
      </c>
      <c r="AA340">
        <v>8</v>
      </c>
      <c r="AB340" t="s">
        <v>74</v>
      </c>
      <c r="AC340" t="s">
        <v>154</v>
      </c>
      <c r="AD340" t="s">
        <v>152</v>
      </c>
    </row>
    <row r="341" spans="1:30">
      <c r="A341" t="s">
        <v>220</v>
      </c>
      <c r="B341" s="16">
        <v>44531</v>
      </c>
      <c r="C341" s="394">
        <v>44532</v>
      </c>
      <c r="D341" t="s">
        <v>95</v>
      </c>
      <c r="E341">
        <v>4536</v>
      </c>
      <c r="F341">
        <v>307</v>
      </c>
      <c r="G341">
        <v>297</v>
      </c>
      <c r="H341">
        <v>180</v>
      </c>
      <c r="I341">
        <v>101</v>
      </c>
      <c r="J341">
        <v>5</v>
      </c>
      <c r="K341">
        <v>30</v>
      </c>
      <c r="L341">
        <v>18</v>
      </c>
      <c r="M341">
        <v>5</v>
      </c>
      <c r="N341">
        <v>14</v>
      </c>
      <c r="O341">
        <v>199</v>
      </c>
      <c r="P341">
        <v>98</v>
      </c>
      <c r="Q341">
        <v>96</v>
      </c>
      <c r="R341">
        <v>96</v>
      </c>
      <c r="S341">
        <v>489</v>
      </c>
      <c r="T341">
        <v>220</v>
      </c>
      <c r="U341">
        <v>269</v>
      </c>
      <c r="V341">
        <v>32</v>
      </c>
      <c r="W341">
        <v>130</v>
      </c>
      <c r="X341">
        <v>74</v>
      </c>
      <c r="Y341">
        <v>175</v>
      </c>
      <c r="Z341">
        <v>90</v>
      </c>
      <c r="AA341">
        <v>10</v>
      </c>
      <c r="AB341" t="s">
        <v>97</v>
      </c>
      <c r="AC341" t="s">
        <v>179</v>
      </c>
      <c r="AD341" t="s">
        <v>177</v>
      </c>
    </row>
    <row r="342" spans="1:30">
      <c r="A342" t="s">
        <v>220</v>
      </c>
      <c r="B342" s="16">
        <v>44531</v>
      </c>
      <c r="C342" s="394">
        <v>44532</v>
      </c>
      <c r="D342" t="s">
        <v>83</v>
      </c>
      <c r="E342">
        <v>4101</v>
      </c>
      <c r="F342">
        <v>368</v>
      </c>
      <c r="G342">
        <v>352</v>
      </c>
      <c r="H342">
        <v>129</v>
      </c>
      <c r="I342">
        <v>139</v>
      </c>
      <c r="J342">
        <v>14</v>
      </c>
      <c r="K342">
        <v>35</v>
      </c>
      <c r="L342">
        <v>18</v>
      </c>
      <c r="M342">
        <v>0</v>
      </c>
      <c r="N342">
        <v>17</v>
      </c>
      <c r="O342">
        <v>211</v>
      </c>
      <c r="P342">
        <v>165</v>
      </c>
      <c r="Q342">
        <v>160</v>
      </c>
      <c r="R342">
        <v>160</v>
      </c>
      <c r="S342">
        <v>673</v>
      </c>
      <c r="T342">
        <v>296</v>
      </c>
      <c r="U342">
        <v>377</v>
      </c>
      <c r="V342">
        <v>66</v>
      </c>
      <c r="W342">
        <v>130</v>
      </c>
      <c r="X342">
        <v>64</v>
      </c>
      <c r="Y342">
        <v>214</v>
      </c>
      <c r="Z342">
        <v>122</v>
      </c>
      <c r="AA342">
        <v>18</v>
      </c>
      <c r="AB342" t="s">
        <v>84</v>
      </c>
      <c r="AC342" t="s">
        <v>166</v>
      </c>
      <c r="AD342" t="s">
        <v>164</v>
      </c>
    </row>
    <row r="343" spans="1:30">
      <c r="A343" t="s">
        <v>220</v>
      </c>
      <c r="B343" s="16">
        <v>44531</v>
      </c>
      <c r="C343" s="394">
        <v>44532</v>
      </c>
      <c r="D343" t="s">
        <v>92</v>
      </c>
      <c r="E343">
        <v>11665</v>
      </c>
      <c r="F343">
        <v>669</v>
      </c>
      <c r="G343">
        <v>631</v>
      </c>
      <c r="H343">
        <v>478</v>
      </c>
      <c r="I343">
        <v>240</v>
      </c>
      <c r="J343">
        <v>27</v>
      </c>
      <c r="K343">
        <v>88</v>
      </c>
      <c r="L343">
        <v>52</v>
      </c>
      <c r="M343">
        <v>37</v>
      </c>
      <c r="N343">
        <v>39</v>
      </c>
      <c r="O343">
        <v>676</v>
      </c>
      <c r="P343">
        <v>470</v>
      </c>
      <c r="Q343">
        <v>457</v>
      </c>
      <c r="R343">
        <v>466</v>
      </c>
      <c r="S343">
        <v>1290</v>
      </c>
      <c r="T343">
        <v>712</v>
      </c>
      <c r="U343">
        <v>578</v>
      </c>
      <c r="V343">
        <v>181</v>
      </c>
      <c r="W343">
        <v>311</v>
      </c>
      <c r="X343">
        <v>151</v>
      </c>
      <c r="Y343">
        <v>439</v>
      </c>
      <c r="Z343">
        <v>199</v>
      </c>
      <c r="AA343">
        <v>10</v>
      </c>
      <c r="AB343" t="s">
        <v>97</v>
      </c>
      <c r="AC343" t="s">
        <v>179</v>
      </c>
      <c r="AD343" t="s">
        <v>174</v>
      </c>
    </row>
    <row r="344" spans="1:30">
      <c r="A344" t="s">
        <v>220</v>
      </c>
      <c r="B344" s="16">
        <v>44531</v>
      </c>
      <c r="C344" s="394">
        <v>44532</v>
      </c>
      <c r="D344" t="s">
        <v>72</v>
      </c>
      <c r="E344">
        <v>5948</v>
      </c>
      <c r="F344">
        <v>359</v>
      </c>
      <c r="G344">
        <v>332</v>
      </c>
      <c r="H344">
        <v>295</v>
      </c>
      <c r="I344">
        <v>118</v>
      </c>
      <c r="J344">
        <v>30</v>
      </c>
      <c r="K344">
        <v>66</v>
      </c>
      <c r="L344">
        <v>39</v>
      </c>
      <c r="M344">
        <v>25</v>
      </c>
      <c r="N344">
        <v>7</v>
      </c>
      <c r="O344">
        <v>393</v>
      </c>
      <c r="P344">
        <v>305</v>
      </c>
      <c r="Q344">
        <v>300</v>
      </c>
      <c r="R344">
        <v>299</v>
      </c>
      <c r="S344">
        <v>831</v>
      </c>
      <c r="T344">
        <v>631</v>
      </c>
      <c r="U344">
        <v>200</v>
      </c>
      <c r="V344">
        <v>91</v>
      </c>
      <c r="W344">
        <v>237</v>
      </c>
      <c r="X344">
        <v>109</v>
      </c>
      <c r="Y344">
        <v>388</v>
      </c>
      <c r="Z344">
        <v>198</v>
      </c>
      <c r="AA344">
        <v>9</v>
      </c>
      <c r="AB344" t="s">
        <v>74</v>
      </c>
      <c r="AC344" t="s">
        <v>154</v>
      </c>
      <c r="AD344" t="s">
        <v>153</v>
      </c>
    </row>
    <row r="345" spans="1:30">
      <c r="A345" t="s">
        <v>220</v>
      </c>
      <c r="B345" s="16">
        <v>44531</v>
      </c>
      <c r="C345" s="394">
        <v>44532</v>
      </c>
      <c r="D345" t="s">
        <v>85</v>
      </c>
      <c r="E345">
        <v>5344</v>
      </c>
      <c r="F345">
        <v>317</v>
      </c>
      <c r="G345">
        <v>300</v>
      </c>
      <c r="H345">
        <v>201</v>
      </c>
      <c r="I345">
        <v>241</v>
      </c>
      <c r="J345">
        <v>45</v>
      </c>
      <c r="K345">
        <v>31</v>
      </c>
      <c r="L345">
        <v>23</v>
      </c>
      <c r="M345">
        <v>21</v>
      </c>
      <c r="N345">
        <v>22</v>
      </c>
      <c r="O345">
        <v>275</v>
      </c>
      <c r="P345">
        <v>179</v>
      </c>
      <c r="Q345">
        <v>178</v>
      </c>
      <c r="R345">
        <v>173</v>
      </c>
      <c r="S345">
        <v>597</v>
      </c>
      <c r="T345">
        <v>281</v>
      </c>
      <c r="U345">
        <v>316</v>
      </c>
      <c r="V345">
        <v>44</v>
      </c>
      <c r="W345">
        <v>159</v>
      </c>
      <c r="X345">
        <v>70</v>
      </c>
      <c r="Y345">
        <v>290</v>
      </c>
      <c r="Z345">
        <v>126</v>
      </c>
      <c r="AA345">
        <v>12</v>
      </c>
      <c r="AB345" t="s">
        <v>91</v>
      </c>
      <c r="AC345" t="s">
        <v>173</v>
      </c>
      <c r="AD345" t="s">
        <v>167</v>
      </c>
    </row>
    <row r="346" spans="1:30">
      <c r="A346" t="s">
        <v>220</v>
      </c>
      <c r="B346" s="16">
        <v>44531</v>
      </c>
      <c r="C346" s="394">
        <v>44532</v>
      </c>
      <c r="D346" t="s">
        <v>88</v>
      </c>
      <c r="E346">
        <v>4665</v>
      </c>
      <c r="F346">
        <v>424</v>
      </c>
      <c r="G346">
        <v>402</v>
      </c>
      <c r="H346">
        <v>253</v>
      </c>
      <c r="I346">
        <v>278</v>
      </c>
      <c r="J346">
        <v>43</v>
      </c>
      <c r="K346">
        <v>55</v>
      </c>
      <c r="L346">
        <v>33</v>
      </c>
      <c r="M346">
        <v>24</v>
      </c>
      <c r="N346">
        <v>28</v>
      </c>
      <c r="O346">
        <v>239</v>
      </c>
      <c r="P346">
        <v>132</v>
      </c>
      <c r="Q346">
        <v>127</v>
      </c>
      <c r="R346">
        <v>122</v>
      </c>
      <c r="S346">
        <v>688</v>
      </c>
      <c r="T346">
        <v>294</v>
      </c>
      <c r="U346">
        <v>394</v>
      </c>
      <c r="V346">
        <v>131</v>
      </c>
      <c r="W346">
        <v>203</v>
      </c>
      <c r="X346">
        <v>91</v>
      </c>
      <c r="Y346">
        <v>286</v>
      </c>
      <c r="Z346">
        <v>147</v>
      </c>
      <c r="AA346">
        <v>4</v>
      </c>
      <c r="AB346" t="s">
        <v>91</v>
      </c>
      <c r="AC346" t="s">
        <v>173</v>
      </c>
      <c r="AD346" t="s">
        <v>170</v>
      </c>
    </row>
    <row r="347" spans="1:30">
      <c r="A347" t="s">
        <v>220</v>
      </c>
      <c r="B347" s="16">
        <v>44531</v>
      </c>
      <c r="C347" s="394">
        <v>44532</v>
      </c>
      <c r="D347" t="s">
        <v>64</v>
      </c>
      <c r="E347">
        <v>5383</v>
      </c>
      <c r="F347">
        <v>302</v>
      </c>
      <c r="G347">
        <v>288</v>
      </c>
      <c r="H347">
        <v>128</v>
      </c>
      <c r="I347">
        <v>214</v>
      </c>
      <c r="J347">
        <v>17</v>
      </c>
      <c r="K347">
        <v>25</v>
      </c>
      <c r="L347">
        <v>10</v>
      </c>
      <c r="M347">
        <v>3</v>
      </c>
      <c r="N347">
        <v>7</v>
      </c>
      <c r="O347">
        <v>193</v>
      </c>
      <c r="P347">
        <v>92</v>
      </c>
      <c r="Q347">
        <v>75</v>
      </c>
      <c r="R347">
        <v>65</v>
      </c>
      <c r="S347">
        <v>543</v>
      </c>
      <c r="T347">
        <v>240</v>
      </c>
      <c r="U347">
        <v>303</v>
      </c>
      <c r="V347">
        <v>57</v>
      </c>
      <c r="W347">
        <v>115</v>
      </c>
      <c r="X347">
        <v>52</v>
      </c>
      <c r="Y347">
        <v>169</v>
      </c>
      <c r="Z347">
        <v>89</v>
      </c>
      <c r="AA347">
        <v>13</v>
      </c>
      <c r="AB347" t="s">
        <v>67</v>
      </c>
      <c r="AC347" t="s">
        <v>148</v>
      </c>
      <c r="AD347" t="s">
        <v>144</v>
      </c>
    </row>
    <row r="348" spans="1:30">
      <c r="A348" t="s">
        <v>220</v>
      </c>
      <c r="B348" s="16">
        <v>44531</v>
      </c>
      <c r="C348" s="394">
        <v>44532</v>
      </c>
      <c r="D348" t="s">
        <v>70</v>
      </c>
      <c r="E348">
        <v>10617</v>
      </c>
      <c r="F348">
        <v>814</v>
      </c>
      <c r="G348">
        <v>766</v>
      </c>
      <c r="H348">
        <v>426</v>
      </c>
      <c r="I348">
        <v>229</v>
      </c>
      <c r="J348">
        <v>16</v>
      </c>
      <c r="K348">
        <v>226</v>
      </c>
      <c r="L348">
        <v>189</v>
      </c>
      <c r="M348">
        <v>71</v>
      </c>
      <c r="N348">
        <v>159</v>
      </c>
      <c r="O348">
        <v>709</v>
      </c>
      <c r="P348">
        <v>435</v>
      </c>
      <c r="Q348">
        <v>415</v>
      </c>
      <c r="R348">
        <v>419</v>
      </c>
      <c r="S348">
        <v>1836</v>
      </c>
      <c r="T348">
        <v>949</v>
      </c>
      <c r="U348">
        <v>887</v>
      </c>
      <c r="V348">
        <v>301</v>
      </c>
      <c r="W348">
        <v>588</v>
      </c>
      <c r="X348">
        <v>257</v>
      </c>
      <c r="Y348">
        <v>833</v>
      </c>
      <c r="Z348">
        <v>383</v>
      </c>
      <c r="AA348">
        <v>88</v>
      </c>
      <c r="AB348" t="s">
        <v>74</v>
      </c>
      <c r="AC348" t="s">
        <v>154</v>
      </c>
      <c r="AD348" t="s">
        <v>151</v>
      </c>
    </row>
    <row r="349" spans="1:30">
      <c r="A349" t="s">
        <v>220</v>
      </c>
      <c r="B349" s="16">
        <v>44531</v>
      </c>
      <c r="C349" s="394">
        <v>44532</v>
      </c>
      <c r="D349" t="s">
        <v>96</v>
      </c>
      <c r="E349">
        <v>7266</v>
      </c>
      <c r="F349">
        <v>529</v>
      </c>
      <c r="G349">
        <v>507</v>
      </c>
      <c r="H349">
        <v>233</v>
      </c>
      <c r="I349">
        <v>367</v>
      </c>
      <c r="J349">
        <v>23</v>
      </c>
      <c r="K349">
        <v>93</v>
      </c>
      <c r="L349">
        <v>57</v>
      </c>
      <c r="M349">
        <v>46</v>
      </c>
      <c r="N349">
        <v>54</v>
      </c>
      <c r="O349">
        <v>360</v>
      </c>
      <c r="P349">
        <v>146</v>
      </c>
      <c r="Q349">
        <v>133</v>
      </c>
      <c r="R349">
        <v>126</v>
      </c>
      <c r="S349">
        <v>1102</v>
      </c>
      <c r="T349">
        <v>426</v>
      </c>
      <c r="U349">
        <v>676</v>
      </c>
      <c r="V349">
        <v>129</v>
      </c>
      <c r="W349">
        <v>261</v>
      </c>
      <c r="X349">
        <v>123</v>
      </c>
      <c r="Y349">
        <v>406</v>
      </c>
      <c r="Z349">
        <v>181</v>
      </c>
      <c r="AA349">
        <v>14</v>
      </c>
      <c r="AB349" t="s">
        <v>97</v>
      </c>
      <c r="AC349" t="s">
        <v>179</v>
      </c>
      <c r="AD349" t="s">
        <v>178</v>
      </c>
    </row>
    <row r="350" spans="1:30">
      <c r="A350" t="s">
        <v>220</v>
      </c>
      <c r="B350" s="16">
        <v>44531</v>
      </c>
      <c r="C350" s="394">
        <v>44532</v>
      </c>
      <c r="D350" t="s">
        <v>82</v>
      </c>
      <c r="E350">
        <v>6371</v>
      </c>
      <c r="F350">
        <v>513</v>
      </c>
      <c r="G350">
        <v>485</v>
      </c>
      <c r="H350">
        <v>303</v>
      </c>
      <c r="I350">
        <v>375</v>
      </c>
      <c r="J350">
        <v>44</v>
      </c>
      <c r="K350">
        <v>55</v>
      </c>
      <c r="L350">
        <v>26</v>
      </c>
      <c r="M350">
        <v>18</v>
      </c>
      <c r="N350">
        <v>21</v>
      </c>
      <c r="O350">
        <v>339</v>
      </c>
      <c r="P350">
        <v>227</v>
      </c>
      <c r="Q350">
        <v>227</v>
      </c>
      <c r="R350">
        <v>226</v>
      </c>
      <c r="S350">
        <v>696</v>
      </c>
      <c r="T350">
        <v>317</v>
      </c>
      <c r="U350">
        <v>379</v>
      </c>
      <c r="V350">
        <v>106</v>
      </c>
      <c r="W350">
        <v>196</v>
      </c>
      <c r="X350">
        <v>93</v>
      </c>
      <c r="Y350">
        <v>318</v>
      </c>
      <c r="Z350">
        <v>141</v>
      </c>
      <c r="AA350">
        <v>21</v>
      </c>
      <c r="AB350" t="s">
        <v>84</v>
      </c>
      <c r="AC350" t="s">
        <v>166</v>
      </c>
      <c r="AD350" t="s">
        <v>163</v>
      </c>
    </row>
    <row r="351" spans="1:30">
      <c r="A351" t="s">
        <v>220</v>
      </c>
      <c r="B351" s="16">
        <v>44531</v>
      </c>
      <c r="C351" s="394">
        <v>44532</v>
      </c>
      <c r="D351" t="s">
        <v>54</v>
      </c>
      <c r="E351">
        <v>6516</v>
      </c>
      <c r="F351">
        <v>417</v>
      </c>
      <c r="G351">
        <v>379</v>
      </c>
      <c r="H351">
        <v>226</v>
      </c>
      <c r="I351">
        <v>279</v>
      </c>
      <c r="J351">
        <v>30</v>
      </c>
      <c r="K351">
        <v>97</v>
      </c>
      <c r="L351">
        <v>81</v>
      </c>
      <c r="M351">
        <v>55</v>
      </c>
      <c r="N351">
        <v>74</v>
      </c>
      <c r="O351">
        <v>326</v>
      </c>
      <c r="P351">
        <v>237</v>
      </c>
      <c r="Q351">
        <v>230</v>
      </c>
      <c r="R351">
        <v>225</v>
      </c>
      <c r="S351">
        <v>869</v>
      </c>
      <c r="T351">
        <v>492</v>
      </c>
      <c r="U351">
        <v>377</v>
      </c>
      <c r="V351">
        <v>19</v>
      </c>
      <c r="W351">
        <v>263</v>
      </c>
      <c r="X351">
        <v>87</v>
      </c>
      <c r="Y351">
        <v>391</v>
      </c>
      <c r="Z351">
        <v>202</v>
      </c>
      <c r="AA351">
        <v>38</v>
      </c>
      <c r="AB351" t="s">
        <v>67</v>
      </c>
      <c r="AC351" t="s">
        <v>148</v>
      </c>
      <c r="AD351" t="s">
        <v>142</v>
      </c>
    </row>
    <row r="352" spans="1:30">
      <c r="A352" t="s">
        <v>220</v>
      </c>
      <c r="B352" s="16">
        <v>44531</v>
      </c>
      <c r="C352" s="394">
        <v>44532</v>
      </c>
      <c r="D352" t="s">
        <v>89</v>
      </c>
      <c r="E352">
        <v>11767</v>
      </c>
      <c r="F352">
        <v>867</v>
      </c>
      <c r="G352">
        <v>828</v>
      </c>
      <c r="H352">
        <v>499</v>
      </c>
      <c r="I352">
        <v>364</v>
      </c>
      <c r="J352">
        <v>32</v>
      </c>
      <c r="K352">
        <v>121</v>
      </c>
      <c r="L352">
        <v>95</v>
      </c>
      <c r="M352">
        <v>78</v>
      </c>
      <c r="N352">
        <v>87</v>
      </c>
      <c r="O352">
        <v>569</v>
      </c>
      <c r="P352">
        <v>418</v>
      </c>
      <c r="Q352">
        <v>405</v>
      </c>
      <c r="R352">
        <v>416</v>
      </c>
      <c r="S352">
        <v>1794</v>
      </c>
      <c r="T352">
        <v>934</v>
      </c>
      <c r="U352">
        <v>860</v>
      </c>
      <c r="V352">
        <v>332</v>
      </c>
      <c r="W352">
        <v>314</v>
      </c>
      <c r="X352">
        <v>167</v>
      </c>
      <c r="Y352">
        <v>424</v>
      </c>
      <c r="Z352">
        <v>225</v>
      </c>
      <c r="AA352">
        <v>31</v>
      </c>
      <c r="AB352" t="s">
        <v>91</v>
      </c>
      <c r="AC352" t="s">
        <v>173</v>
      </c>
      <c r="AD352" t="s">
        <v>171</v>
      </c>
    </row>
    <row r="353" spans="1:30">
      <c r="A353" t="s">
        <v>220</v>
      </c>
      <c r="B353" s="16">
        <v>44531</v>
      </c>
      <c r="C353" s="394">
        <v>44532</v>
      </c>
      <c r="D353" t="s">
        <v>101</v>
      </c>
      <c r="E353">
        <v>4579</v>
      </c>
      <c r="F353">
        <v>242</v>
      </c>
      <c r="G353">
        <v>225</v>
      </c>
      <c r="H353">
        <v>213</v>
      </c>
      <c r="I353">
        <v>151</v>
      </c>
      <c r="J353">
        <v>46</v>
      </c>
      <c r="K353">
        <v>30</v>
      </c>
      <c r="L353">
        <v>26</v>
      </c>
      <c r="M353">
        <v>26</v>
      </c>
      <c r="N353">
        <v>24</v>
      </c>
      <c r="O353">
        <v>197</v>
      </c>
      <c r="P353">
        <v>155</v>
      </c>
      <c r="Q353">
        <v>150</v>
      </c>
      <c r="R353">
        <v>147</v>
      </c>
      <c r="S353">
        <v>463</v>
      </c>
      <c r="T353">
        <v>267</v>
      </c>
      <c r="U353">
        <v>196</v>
      </c>
      <c r="V353">
        <v>43</v>
      </c>
      <c r="W353">
        <v>84</v>
      </c>
      <c r="X353">
        <v>48</v>
      </c>
      <c r="Y353">
        <v>133</v>
      </c>
      <c r="Z353">
        <v>75</v>
      </c>
      <c r="AA353">
        <v>16</v>
      </c>
      <c r="AB353" t="s">
        <v>103</v>
      </c>
      <c r="AC353" t="s">
        <v>185</v>
      </c>
      <c r="AD353" t="s">
        <v>183</v>
      </c>
    </row>
    <row r="354" spans="1:30">
      <c r="A354" t="s">
        <v>220</v>
      </c>
      <c r="B354" s="16">
        <v>44531</v>
      </c>
      <c r="C354" s="394">
        <v>44532</v>
      </c>
      <c r="D354" t="s">
        <v>66</v>
      </c>
      <c r="E354">
        <v>3252</v>
      </c>
      <c r="F354">
        <v>126</v>
      </c>
      <c r="G354">
        <v>113</v>
      </c>
      <c r="H354">
        <v>86</v>
      </c>
      <c r="I354">
        <v>70</v>
      </c>
      <c r="J354">
        <v>14</v>
      </c>
      <c r="K354">
        <v>42</v>
      </c>
      <c r="L354">
        <v>37</v>
      </c>
      <c r="M354">
        <v>7</v>
      </c>
      <c r="N354">
        <v>16</v>
      </c>
      <c r="O354">
        <v>190</v>
      </c>
      <c r="P354">
        <v>131</v>
      </c>
      <c r="Q354">
        <v>129</v>
      </c>
      <c r="R354">
        <v>125</v>
      </c>
      <c r="S354">
        <v>296</v>
      </c>
      <c r="T354">
        <v>205</v>
      </c>
      <c r="U354">
        <v>91</v>
      </c>
      <c r="V354">
        <v>35</v>
      </c>
      <c r="W354">
        <v>75</v>
      </c>
      <c r="X354">
        <v>38</v>
      </c>
      <c r="Y354">
        <v>114</v>
      </c>
      <c r="Z354">
        <v>54</v>
      </c>
      <c r="AA354">
        <v>21</v>
      </c>
      <c r="AB354" t="s">
        <v>67</v>
      </c>
      <c r="AC354" t="s">
        <v>148</v>
      </c>
      <c r="AD354" t="s">
        <v>146</v>
      </c>
    </row>
    <row r="355" spans="1:30">
      <c r="A355" t="s">
        <v>220</v>
      </c>
      <c r="B355" s="16">
        <v>44531</v>
      </c>
      <c r="C355" s="394">
        <v>44532</v>
      </c>
      <c r="D355" t="s">
        <v>80</v>
      </c>
      <c r="E355">
        <v>5439</v>
      </c>
      <c r="F355">
        <v>357</v>
      </c>
      <c r="G355">
        <v>342</v>
      </c>
      <c r="H355">
        <v>275</v>
      </c>
      <c r="I355">
        <v>80</v>
      </c>
      <c r="J355">
        <v>5</v>
      </c>
      <c r="K355">
        <v>24</v>
      </c>
      <c r="L355">
        <v>18</v>
      </c>
      <c r="M355">
        <v>15</v>
      </c>
      <c r="N355">
        <v>16</v>
      </c>
      <c r="O355">
        <v>236</v>
      </c>
      <c r="P355">
        <v>209</v>
      </c>
      <c r="Q355">
        <v>207</v>
      </c>
      <c r="R355">
        <v>207</v>
      </c>
      <c r="S355">
        <v>582</v>
      </c>
      <c r="T355">
        <v>348</v>
      </c>
      <c r="U355">
        <v>234</v>
      </c>
      <c r="V355">
        <v>117</v>
      </c>
      <c r="W355">
        <v>145</v>
      </c>
      <c r="X355">
        <v>89</v>
      </c>
      <c r="Y355">
        <v>212</v>
      </c>
      <c r="Z355">
        <v>103</v>
      </c>
      <c r="AA355">
        <v>13</v>
      </c>
      <c r="AB355" t="s">
        <v>84</v>
      </c>
      <c r="AC355" t="s">
        <v>166</v>
      </c>
      <c r="AD355" t="s">
        <v>161</v>
      </c>
    </row>
    <row r="356" spans="1:30">
      <c r="A356" t="s">
        <v>220</v>
      </c>
      <c r="B356" s="16">
        <v>44531</v>
      </c>
      <c r="C356" s="394">
        <v>44532</v>
      </c>
      <c r="D356" t="s">
        <v>52</v>
      </c>
      <c r="E356">
        <v>3074</v>
      </c>
      <c r="F356">
        <v>225</v>
      </c>
      <c r="G356">
        <v>210</v>
      </c>
      <c r="H356">
        <v>149</v>
      </c>
      <c r="I356">
        <v>65</v>
      </c>
      <c r="J356">
        <v>7</v>
      </c>
      <c r="K356">
        <v>110</v>
      </c>
      <c r="L356">
        <v>96</v>
      </c>
      <c r="M356">
        <v>65</v>
      </c>
      <c r="N356">
        <v>28</v>
      </c>
      <c r="O356">
        <v>226</v>
      </c>
      <c r="P356">
        <v>170</v>
      </c>
      <c r="Q356">
        <v>168</v>
      </c>
      <c r="R356">
        <v>169</v>
      </c>
      <c r="S356">
        <v>751</v>
      </c>
      <c r="T356">
        <v>532</v>
      </c>
      <c r="U356">
        <v>219</v>
      </c>
      <c r="V356">
        <v>38</v>
      </c>
      <c r="W356">
        <v>210</v>
      </c>
      <c r="X356">
        <v>70</v>
      </c>
      <c r="Y356">
        <v>272</v>
      </c>
      <c r="Z356">
        <v>168</v>
      </c>
      <c r="AA356">
        <v>33</v>
      </c>
      <c r="AB356" t="s">
        <v>67</v>
      </c>
      <c r="AC356" t="s">
        <v>148</v>
      </c>
      <c r="AD356" t="s">
        <v>141</v>
      </c>
    </row>
    <row r="357" spans="1:30">
      <c r="A357" t="s">
        <v>220</v>
      </c>
      <c r="B357" s="16">
        <v>44531</v>
      </c>
      <c r="C357" s="394">
        <v>44532</v>
      </c>
      <c r="D357" t="s">
        <v>87</v>
      </c>
      <c r="E357">
        <v>3012</v>
      </c>
      <c r="F357">
        <v>262</v>
      </c>
      <c r="G357">
        <v>250</v>
      </c>
      <c r="H357">
        <v>162</v>
      </c>
      <c r="I357">
        <v>181</v>
      </c>
      <c r="J357">
        <v>14</v>
      </c>
      <c r="K357">
        <v>24</v>
      </c>
      <c r="L357">
        <v>21</v>
      </c>
      <c r="M357">
        <v>17</v>
      </c>
      <c r="N357">
        <v>20</v>
      </c>
      <c r="O357">
        <v>135</v>
      </c>
      <c r="P357">
        <v>105</v>
      </c>
      <c r="Q357">
        <v>105</v>
      </c>
      <c r="R357">
        <v>105</v>
      </c>
      <c r="S357">
        <v>456</v>
      </c>
      <c r="T357">
        <v>240</v>
      </c>
      <c r="U357">
        <v>216</v>
      </c>
      <c r="V357">
        <v>90</v>
      </c>
      <c r="W357">
        <v>89</v>
      </c>
      <c r="X357">
        <v>47</v>
      </c>
      <c r="Y357">
        <v>128</v>
      </c>
      <c r="Z357">
        <v>83</v>
      </c>
      <c r="AA357">
        <v>3</v>
      </c>
      <c r="AB357" t="s">
        <v>91</v>
      </c>
      <c r="AC357" t="s">
        <v>173</v>
      </c>
      <c r="AD357" t="s">
        <v>169</v>
      </c>
    </row>
    <row r="358" spans="1:30">
      <c r="A358" t="s">
        <v>220</v>
      </c>
      <c r="B358" s="16">
        <v>44531</v>
      </c>
      <c r="C358" s="394">
        <v>44532</v>
      </c>
      <c r="D358" t="s">
        <v>90</v>
      </c>
      <c r="E358">
        <v>2905</v>
      </c>
      <c r="F358">
        <v>220</v>
      </c>
      <c r="G358">
        <v>211</v>
      </c>
      <c r="H358">
        <v>173</v>
      </c>
      <c r="I358">
        <v>133</v>
      </c>
      <c r="J358">
        <v>14</v>
      </c>
      <c r="K358">
        <v>27</v>
      </c>
      <c r="L358">
        <v>21</v>
      </c>
      <c r="M358">
        <v>19</v>
      </c>
      <c r="N358">
        <v>11</v>
      </c>
      <c r="O358">
        <v>97</v>
      </c>
      <c r="P358">
        <v>75</v>
      </c>
      <c r="Q358">
        <v>75</v>
      </c>
      <c r="R358">
        <v>73</v>
      </c>
      <c r="S358">
        <v>338</v>
      </c>
      <c r="T358">
        <v>183</v>
      </c>
      <c r="U358">
        <v>155</v>
      </c>
      <c r="V358">
        <v>44</v>
      </c>
      <c r="W358">
        <v>84</v>
      </c>
      <c r="X358">
        <v>41</v>
      </c>
      <c r="Y358">
        <v>122</v>
      </c>
      <c r="Z358">
        <v>49</v>
      </c>
      <c r="AA358">
        <v>4</v>
      </c>
      <c r="AB358" t="s">
        <v>91</v>
      </c>
      <c r="AC358" t="s">
        <v>173</v>
      </c>
      <c r="AD358" t="s">
        <v>172</v>
      </c>
    </row>
    <row r="359" spans="1:30">
      <c r="A359" t="s">
        <v>220</v>
      </c>
      <c r="B359" s="16">
        <v>44531</v>
      </c>
      <c r="C359" s="394">
        <v>44532</v>
      </c>
      <c r="D359" t="s">
        <v>93</v>
      </c>
      <c r="E359">
        <v>2235</v>
      </c>
      <c r="F359">
        <v>214</v>
      </c>
      <c r="G359">
        <v>203</v>
      </c>
      <c r="H359">
        <v>155</v>
      </c>
      <c r="I359">
        <v>52</v>
      </c>
      <c r="J359">
        <v>5</v>
      </c>
      <c r="K359">
        <v>17</v>
      </c>
      <c r="L359">
        <v>10</v>
      </c>
      <c r="M359">
        <v>9</v>
      </c>
      <c r="N359">
        <v>10</v>
      </c>
      <c r="O359">
        <v>158</v>
      </c>
      <c r="P359">
        <v>132</v>
      </c>
      <c r="Q359">
        <v>131</v>
      </c>
      <c r="R359">
        <v>130</v>
      </c>
      <c r="S359">
        <v>388</v>
      </c>
      <c r="T359">
        <v>166</v>
      </c>
      <c r="U359">
        <v>222</v>
      </c>
      <c r="V359">
        <v>64</v>
      </c>
      <c r="W359">
        <v>87</v>
      </c>
      <c r="X359">
        <v>42</v>
      </c>
      <c r="Y359">
        <v>132</v>
      </c>
      <c r="Z359">
        <v>59</v>
      </c>
      <c r="AA359">
        <v>18</v>
      </c>
      <c r="AB359" t="s">
        <v>97</v>
      </c>
      <c r="AC359" t="s">
        <v>179</v>
      </c>
      <c r="AD359" t="s">
        <v>175</v>
      </c>
    </row>
    <row r="360" spans="1:30">
      <c r="A360" t="s">
        <v>220</v>
      </c>
      <c r="B360" s="16">
        <v>44531</v>
      </c>
      <c r="C360" s="394">
        <v>44532</v>
      </c>
      <c r="D360" t="s">
        <v>81</v>
      </c>
      <c r="E360">
        <v>2790</v>
      </c>
      <c r="F360">
        <v>208</v>
      </c>
      <c r="G360">
        <v>194</v>
      </c>
      <c r="H360">
        <v>71</v>
      </c>
      <c r="I360">
        <v>161</v>
      </c>
      <c r="J360">
        <v>25</v>
      </c>
      <c r="K360">
        <v>12</v>
      </c>
      <c r="L360">
        <v>10</v>
      </c>
      <c r="M360">
        <v>8</v>
      </c>
      <c r="N360">
        <v>10</v>
      </c>
      <c r="O360">
        <v>99</v>
      </c>
      <c r="P360">
        <v>72</v>
      </c>
      <c r="Q360">
        <v>72</v>
      </c>
      <c r="R360">
        <v>71</v>
      </c>
      <c r="S360">
        <v>335</v>
      </c>
      <c r="T360">
        <v>179</v>
      </c>
      <c r="U360">
        <v>156</v>
      </c>
      <c r="V360">
        <v>63</v>
      </c>
      <c r="W360">
        <v>64</v>
      </c>
      <c r="X360">
        <v>31</v>
      </c>
      <c r="Y360">
        <v>135</v>
      </c>
      <c r="Z360">
        <v>56</v>
      </c>
      <c r="AA360">
        <v>5</v>
      </c>
      <c r="AB360" t="s">
        <v>84</v>
      </c>
      <c r="AC360" t="s">
        <v>166</v>
      </c>
      <c r="AD360" t="s">
        <v>162</v>
      </c>
    </row>
    <row r="361" spans="1:30">
      <c r="A361" t="s">
        <v>220</v>
      </c>
      <c r="B361" s="16">
        <v>44531</v>
      </c>
      <c r="C361" s="394">
        <v>44532</v>
      </c>
      <c r="D361" t="s">
        <v>69</v>
      </c>
      <c r="E361">
        <v>7046</v>
      </c>
      <c r="F361">
        <v>495</v>
      </c>
      <c r="G361">
        <v>465</v>
      </c>
      <c r="H361">
        <v>355</v>
      </c>
      <c r="I361">
        <v>137</v>
      </c>
      <c r="J361">
        <v>9</v>
      </c>
      <c r="K361">
        <v>111</v>
      </c>
      <c r="L361">
        <v>84</v>
      </c>
      <c r="M361">
        <v>31</v>
      </c>
      <c r="N361">
        <v>46</v>
      </c>
      <c r="O361">
        <v>465</v>
      </c>
      <c r="P361">
        <v>334</v>
      </c>
      <c r="Q361">
        <v>324</v>
      </c>
      <c r="R361">
        <v>322</v>
      </c>
      <c r="S361">
        <v>1241</v>
      </c>
      <c r="T361">
        <v>791</v>
      </c>
      <c r="U361">
        <v>450</v>
      </c>
      <c r="V361">
        <v>229</v>
      </c>
      <c r="W361">
        <v>323</v>
      </c>
      <c r="X361">
        <v>158</v>
      </c>
      <c r="Y361">
        <v>510</v>
      </c>
      <c r="Z361">
        <v>215</v>
      </c>
      <c r="AA361">
        <v>19</v>
      </c>
      <c r="AB361" t="s">
        <v>74</v>
      </c>
      <c r="AC361" t="s">
        <v>154</v>
      </c>
      <c r="AD361" t="s">
        <v>150</v>
      </c>
    </row>
    <row r="362" spans="1:30">
      <c r="A362" t="s">
        <v>220</v>
      </c>
      <c r="B362" s="16">
        <v>44531</v>
      </c>
      <c r="C362" s="394">
        <v>44532</v>
      </c>
      <c r="D362" t="s">
        <v>65</v>
      </c>
      <c r="E362">
        <v>4870</v>
      </c>
      <c r="F362">
        <v>413</v>
      </c>
      <c r="G362">
        <v>388</v>
      </c>
      <c r="H362">
        <v>164</v>
      </c>
      <c r="I362">
        <v>259</v>
      </c>
      <c r="J362">
        <v>21</v>
      </c>
      <c r="K362">
        <v>78</v>
      </c>
      <c r="L362">
        <v>29</v>
      </c>
      <c r="M362">
        <v>14</v>
      </c>
      <c r="N362">
        <v>16</v>
      </c>
      <c r="O362">
        <v>321</v>
      </c>
      <c r="P362">
        <v>103</v>
      </c>
      <c r="Q362">
        <v>102</v>
      </c>
      <c r="R362">
        <v>98</v>
      </c>
      <c r="S362">
        <v>715</v>
      </c>
      <c r="T362">
        <v>250</v>
      </c>
      <c r="U362">
        <v>465</v>
      </c>
      <c r="V362">
        <v>50</v>
      </c>
      <c r="W362">
        <v>164</v>
      </c>
      <c r="X362">
        <v>86</v>
      </c>
      <c r="Y362">
        <v>266</v>
      </c>
      <c r="Z362">
        <v>97</v>
      </c>
      <c r="AA362">
        <v>30</v>
      </c>
      <c r="AB362" t="s">
        <v>67</v>
      </c>
      <c r="AC362" t="s">
        <v>148</v>
      </c>
      <c r="AD362" t="s">
        <v>145</v>
      </c>
    </row>
    <row r="363" spans="1:30">
      <c r="A363" t="s">
        <v>220</v>
      </c>
      <c r="B363" s="16">
        <v>44562</v>
      </c>
      <c r="C363" s="394">
        <v>44565</v>
      </c>
      <c r="D363" t="s">
        <v>94</v>
      </c>
      <c r="E363">
        <v>6214</v>
      </c>
      <c r="F363">
        <v>545</v>
      </c>
      <c r="G363">
        <v>515</v>
      </c>
      <c r="H363">
        <v>355</v>
      </c>
      <c r="I363">
        <v>361</v>
      </c>
      <c r="J363">
        <v>53</v>
      </c>
      <c r="K363">
        <v>81</v>
      </c>
      <c r="L363">
        <v>57</v>
      </c>
      <c r="M363">
        <v>33</v>
      </c>
      <c r="N363">
        <v>35</v>
      </c>
      <c r="O363">
        <v>335</v>
      </c>
      <c r="P363">
        <v>232</v>
      </c>
      <c r="Q363">
        <v>220</v>
      </c>
      <c r="R363">
        <v>225</v>
      </c>
      <c r="S363">
        <v>889</v>
      </c>
      <c r="T363">
        <v>436</v>
      </c>
      <c r="U363">
        <v>453</v>
      </c>
      <c r="V363">
        <v>106</v>
      </c>
      <c r="W363">
        <v>233</v>
      </c>
      <c r="X363">
        <v>104</v>
      </c>
      <c r="Y363">
        <v>326</v>
      </c>
      <c r="Z363">
        <v>145</v>
      </c>
      <c r="AA363">
        <v>9</v>
      </c>
      <c r="AB363" t="s">
        <v>97</v>
      </c>
      <c r="AC363" t="s">
        <v>179</v>
      </c>
      <c r="AD363" t="s">
        <v>176</v>
      </c>
    </row>
    <row r="364" spans="1:30">
      <c r="A364" t="s">
        <v>220</v>
      </c>
      <c r="B364" s="16">
        <v>44562</v>
      </c>
      <c r="C364" s="394">
        <v>44565</v>
      </c>
      <c r="D364" t="s">
        <v>61</v>
      </c>
      <c r="E364">
        <v>7275</v>
      </c>
      <c r="F364">
        <v>358</v>
      </c>
      <c r="G364">
        <v>329</v>
      </c>
      <c r="H364">
        <v>217</v>
      </c>
      <c r="I364">
        <v>234</v>
      </c>
      <c r="J364">
        <v>39</v>
      </c>
      <c r="K364">
        <v>105</v>
      </c>
      <c r="L364">
        <v>90</v>
      </c>
      <c r="M364">
        <v>16</v>
      </c>
      <c r="N364">
        <v>70</v>
      </c>
      <c r="O364">
        <v>377</v>
      </c>
      <c r="P364">
        <v>198</v>
      </c>
      <c r="Q364">
        <v>191</v>
      </c>
      <c r="R364">
        <v>194</v>
      </c>
      <c r="S364">
        <v>808</v>
      </c>
      <c r="T364">
        <v>424</v>
      </c>
      <c r="U364">
        <v>384</v>
      </c>
      <c r="V364">
        <v>114</v>
      </c>
      <c r="W364">
        <v>152</v>
      </c>
      <c r="X364">
        <v>80</v>
      </c>
      <c r="Y364">
        <v>267</v>
      </c>
      <c r="Z364">
        <v>141</v>
      </c>
      <c r="AA364">
        <v>17</v>
      </c>
      <c r="AB364" t="s">
        <v>67</v>
      </c>
      <c r="AC364" t="s">
        <v>148</v>
      </c>
      <c r="AD364" t="s">
        <v>143</v>
      </c>
    </row>
    <row r="365" spans="1:30">
      <c r="A365" t="s">
        <v>220</v>
      </c>
      <c r="B365" s="16">
        <v>44562</v>
      </c>
      <c r="C365" s="394">
        <v>44565</v>
      </c>
      <c r="D365" t="s">
        <v>98</v>
      </c>
      <c r="E365">
        <v>5314</v>
      </c>
      <c r="F365">
        <v>438</v>
      </c>
      <c r="G365">
        <v>417</v>
      </c>
      <c r="H365">
        <v>323</v>
      </c>
      <c r="I365">
        <v>287</v>
      </c>
      <c r="J365">
        <v>36</v>
      </c>
      <c r="K365">
        <v>60</v>
      </c>
      <c r="L365">
        <v>33</v>
      </c>
      <c r="M365">
        <v>24</v>
      </c>
      <c r="N365">
        <v>30</v>
      </c>
      <c r="O365">
        <v>245</v>
      </c>
      <c r="P365">
        <v>125</v>
      </c>
      <c r="Q365">
        <v>122</v>
      </c>
      <c r="R365">
        <v>122</v>
      </c>
      <c r="S365">
        <v>849</v>
      </c>
      <c r="T365">
        <v>349</v>
      </c>
      <c r="U365">
        <v>500</v>
      </c>
      <c r="V365">
        <v>192</v>
      </c>
      <c r="W365">
        <v>169</v>
      </c>
      <c r="X365">
        <v>101</v>
      </c>
      <c r="Y365">
        <v>299</v>
      </c>
      <c r="Z365">
        <v>136</v>
      </c>
      <c r="AA365">
        <v>20</v>
      </c>
      <c r="AB365" t="s">
        <v>103</v>
      </c>
      <c r="AC365" t="s">
        <v>185</v>
      </c>
      <c r="AD365" t="s">
        <v>180</v>
      </c>
    </row>
    <row r="366" spans="1:30">
      <c r="A366" t="s">
        <v>220</v>
      </c>
      <c r="B366" s="16">
        <v>44562</v>
      </c>
      <c r="C366" s="394">
        <v>44565</v>
      </c>
      <c r="D366" t="s">
        <v>75</v>
      </c>
      <c r="E366">
        <v>7783</v>
      </c>
      <c r="F366">
        <v>732</v>
      </c>
      <c r="G366">
        <v>690</v>
      </c>
      <c r="H366">
        <v>608</v>
      </c>
      <c r="I366">
        <v>446</v>
      </c>
      <c r="J366">
        <v>63</v>
      </c>
      <c r="K366">
        <v>90</v>
      </c>
      <c r="L366">
        <v>84</v>
      </c>
      <c r="M366">
        <v>76</v>
      </c>
      <c r="N366">
        <v>76</v>
      </c>
      <c r="O366">
        <v>337</v>
      </c>
      <c r="P366">
        <v>308</v>
      </c>
      <c r="Q366">
        <v>303</v>
      </c>
      <c r="R366">
        <v>305</v>
      </c>
      <c r="S366">
        <v>1128</v>
      </c>
      <c r="T366">
        <v>606</v>
      </c>
      <c r="U366">
        <v>522</v>
      </c>
      <c r="V366">
        <v>194</v>
      </c>
      <c r="W366">
        <v>350</v>
      </c>
      <c r="X366">
        <v>199</v>
      </c>
      <c r="Y366">
        <v>503</v>
      </c>
      <c r="Z366">
        <v>228</v>
      </c>
      <c r="AA366">
        <v>69</v>
      </c>
      <c r="AB366" t="s">
        <v>77</v>
      </c>
      <c r="AC366" t="s">
        <v>158</v>
      </c>
      <c r="AD366" t="s">
        <v>155</v>
      </c>
    </row>
    <row r="367" spans="1:30">
      <c r="A367" t="s">
        <v>220</v>
      </c>
      <c r="B367" s="16">
        <v>44562</v>
      </c>
      <c r="C367" s="394">
        <v>44565</v>
      </c>
      <c r="D367" t="s">
        <v>99</v>
      </c>
      <c r="E367">
        <v>6273</v>
      </c>
      <c r="F367">
        <v>561</v>
      </c>
      <c r="G367">
        <v>543</v>
      </c>
      <c r="H367">
        <v>494</v>
      </c>
      <c r="I367">
        <v>453</v>
      </c>
      <c r="J367">
        <v>138</v>
      </c>
      <c r="K367">
        <v>38</v>
      </c>
      <c r="L367">
        <v>33</v>
      </c>
      <c r="M367">
        <v>28</v>
      </c>
      <c r="N367">
        <v>32</v>
      </c>
      <c r="O367">
        <v>355</v>
      </c>
      <c r="P367">
        <v>288</v>
      </c>
      <c r="Q367">
        <v>287</v>
      </c>
      <c r="R367">
        <v>280</v>
      </c>
      <c r="S367">
        <v>735</v>
      </c>
      <c r="T367">
        <v>483</v>
      </c>
      <c r="U367">
        <v>252</v>
      </c>
      <c r="V367">
        <v>97</v>
      </c>
      <c r="W367">
        <v>201</v>
      </c>
      <c r="X367">
        <v>129</v>
      </c>
      <c r="Y367">
        <v>326</v>
      </c>
      <c r="Z367">
        <v>159</v>
      </c>
      <c r="AA367">
        <v>24</v>
      </c>
      <c r="AB367" t="s">
        <v>103</v>
      </c>
      <c r="AC367" t="s">
        <v>185</v>
      </c>
      <c r="AD367" t="s">
        <v>221</v>
      </c>
    </row>
    <row r="368" spans="1:30">
      <c r="A368" t="s">
        <v>220</v>
      </c>
      <c r="B368" s="16">
        <v>44562</v>
      </c>
      <c r="C368" s="394">
        <v>44565</v>
      </c>
      <c r="D368" t="s">
        <v>78</v>
      </c>
      <c r="E368">
        <v>11714</v>
      </c>
      <c r="F368">
        <v>786</v>
      </c>
      <c r="G368">
        <v>722</v>
      </c>
      <c r="H368">
        <v>439</v>
      </c>
      <c r="I368">
        <v>526</v>
      </c>
      <c r="J368">
        <v>66</v>
      </c>
      <c r="K368">
        <v>106</v>
      </c>
      <c r="L368">
        <v>94</v>
      </c>
      <c r="M368">
        <v>90</v>
      </c>
      <c r="N368">
        <v>91</v>
      </c>
      <c r="O368">
        <v>602</v>
      </c>
      <c r="P368">
        <v>353</v>
      </c>
      <c r="Q368">
        <v>350</v>
      </c>
      <c r="R368">
        <v>347</v>
      </c>
      <c r="S368">
        <v>1429</v>
      </c>
      <c r="T368">
        <v>650</v>
      </c>
      <c r="U368">
        <v>779</v>
      </c>
      <c r="V368">
        <v>106</v>
      </c>
      <c r="W368">
        <v>362</v>
      </c>
      <c r="X368">
        <v>175</v>
      </c>
      <c r="Y368">
        <v>569</v>
      </c>
      <c r="Z368">
        <v>225</v>
      </c>
      <c r="AA368">
        <v>32</v>
      </c>
      <c r="AB368" t="s">
        <v>84</v>
      </c>
      <c r="AC368" t="s">
        <v>166</v>
      </c>
      <c r="AD368" t="s">
        <v>159</v>
      </c>
    </row>
    <row r="369" spans="1:30">
      <c r="A369" t="s">
        <v>220</v>
      </c>
      <c r="B369" s="16">
        <v>44562</v>
      </c>
      <c r="C369" s="394">
        <v>44565</v>
      </c>
      <c r="D369" t="s">
        <v>76</v>
      </c>
      <c r="E369">
        <v>8428</v>
      </c>
      <c r="F369">
        <v>805</v>
      </c>
      <c r="G369">
        <v>776</v>
      </c>
      <c r="H369">
        <v>676</v>
      </c>
      <c r="I369">
        <v>505</v>
      </c>
      <c r="J369">
        <v>105</v>
      </c>
      <c r="K369">
        <v>46</v>
      </c>
      <c r="L369">
        <v>44</v>
      </c>
      <c r="M369">
        <v>40</v>
      </c>
      <c r="N369">
        <v>43</v>
      </c>
      <c r="O369">
        <v>443</v>
      </c>
      <c r="P369">
        <v>365</v>
      </c>
      <c r="Q369">
        <v>360</v>
      </c>
      <c r="R369">
        <v>355</v>
      </c>
      <c r="S369">
        <v>1089</v>
      </c>
      <c r="T369">
        <v>657</v>
      </c>
      <c r="U369">
        <v>432</v>
      </c>
      <c r="V369">
        <v>145</v>
      </c>
      <c r="W369">
        <v>349</v>
      </c>
      <c r="X369">
        <v>196</v>
      </c>
      <c r="Y369">
        <v>446</v>
      </c>
      <c r="Z369">
        <v>190</v>
      </c>
      <c r="AA369">
        <v>69</v>
      </c>
      <c r="AB369" t="s">
        <v>77</v>
      </c>
      <c r="AC369" t="s">
        <v>158</v>
      </c>
      <c r="AD369" t="s">
        <v>156</v>
      </c>
    </row>
    <row r="370" spans="1:30">
      <c r="A370" t="s">
        <v>220</v>
      </c>
      <c r="B370" s="16">
        <v>44562</v>
      </c>
      <c r="C370" s="394">
        <v>44565</v>
      </c>
      <c r="D370" t="s">
        <v>79</v>
      </c>
      <c r="E370">
        <v>8394</v>
      </c>
      <c r="F370">
        <v>406</v>
      </c>
      <c r="G370">
        <v>373</v>
      </c>
      <c r="H370">
        <v>283</v>
      </c>
      <c r="I370">
        <v>231</v>
      </c>
      <c r="J370">
        <v>26</v>
      </c>
      <c r="K370">
        <v>33</v>
      </c>
      <c r="L370">
        <v>25</v>
      </c>
      <c r="M370">
        <v>20</v>
      </c>
      <c r="N370">
        <v>25</v>
      </c>
      <c r="O370">
        <v>332</v>
      </c>
      <c r="P370">
        <v>277</v>
      </c>
      <c r="Q370">
        <v>273</v>
      </c>
      <c r="R370">
        <v>275</v>
      </c>
      <c r="S370">
        <v>753</v>
      </c>
      <c r="T370">
        <v>332</v>
      </c>
      <c r="U370">
        <v>421</v>
      </c>
      <c r="V370">
        <v>89</v>
      </c>
      <c r="W370">
        <v>148</v>
      </c>
      <c r="X370">
        <v>84</v>
      </c>
      <c r="Y370">
        <v>262</v>
      </c>
      <c r="Z370">
        <v>140</v>
      </c>
      <c r="AA370">
        <v>23</v>
      </c>
      <c r="AB370" t="s">
        <v>84</v>
      </c>
      <c r="AC370" t="s">
        <v>166</v>
      </c>
      <c r="AD370" t="s">
        <v>160</v>
      </c>
    </row>
    <row r="371" spans="1:30">
      <c r="A371" t="s">
        <v>220</v>
      </c>
      <c r="B371" s="16">
        <v>44562</v>
      </c>
      <c r="C371" s="394">
        <v>44565</v>
      </c>
      <c r="D371" t="s">
        <v>86</v>
      </c>
      <c r="E371">
        <v>1686</v>
      </c>
      <c r="F371">
        <v>136</v>
      </c>
      <c r="G371">
        <v>133</v>
      </c>
      <c r="H371">
        <v>113</v>
      </c>
      <c r="I371">
        <v>106</v>
      </c>
      <c r="J371">
        <v>23</v>
      </c>
      <c r="K371">
        <v>19</v>
      </c>
      <c r="L371">
        <v>13</v>
      </c>
      <c r="M371">
        <v>10</v>
      </c>
      <c r="N371">
        <v>8</v>
      </c>
      <c r="O371">
        <v>84</v>
      </c>
      <c r="P371">
        <v>61</v>
      </c>
      <c r="Q371">
        <v>61</v>
      </c>
      <c r="R371">
        <v>61</v>
      </c>
      <c r="S371">
        <v>261</v>
      </c>
      <c r="T371">
        <v>131</v>
      </c>
      <c r="U371">
        <v>130</v>
      </c>
      <c r="V371">
        <v>20</v>
      </c>
      <c r="W371">
        <v>69</v>
      </c>
      <c r="X371">
        <v>32</v>
      </c>
      <c r="Y371">
        <v>80</v>
      </c>
      <c r="Z371">
        <v>25</v>
      </c>
      <c r="AA371">
        <v>6</v>
      </c>
      <c r="AB371" t="s">
        <v>91</v>
      </c>
      <c r="AC371" t="s">
        <v>173</v>
      </c>
      <c r="AD371" t="s">
        <v>168</v>
      </c>
    </row>
    <row r="372" spans="1:30">
      <c r="A372" t="s">
        <v>220</v>
      </c>
      <c r="B372" s="16">
        <v>44562</v>
      </c>
      <c r="C372" s="394">
        <v>44565</v>
      </c>
      <c r="D372" t="s">
        <v>102</v>
      </c>
      <c r="E372">
        <v>12947</v>
      </c>
      <c r="F372">
        <v>777</v>
      </c>
      <c r="G372">
        <v>721</v>
      </c>
      <c r="H372">
        <v>468</v>
      </c>
      <c r="I372">
        <v>566</v>
      </c>
      <c r="J372">
        <v>70</v>
      </c>
      <c r="K372">
        <v>111</v>
      </c>
      <c r="L372">
        <v>83</v>
      </c>
      <c r="M372">
        <v>70</v>
      </c>
      <c r="N372">
        <v>77</v>
      </c>
      <c r="O372">
        <v>555</v>
      </c>
      <c r="P372">
        <v>207</v>
      </c>
      <c r="Q372">
        <v>199</v>
      </c>
      <c r="R372">
        <v>195</v>
      </c>
      <c r="S372">
        <v>1468</v>
      </c>
      <c r="T372">
        <v>834</v>
      </c>
      <c r="U372">
        <v>634</v>
      </c>
      <c r="V372">
        <v>173</v>
      </c>
      <c r="W372">
        <v>323</v>
      </c>
      <c r="X372">
        <v>180</v>
      </c>
      <c r="Y372">
        <v>511</v>
      </c>
      <c r="Z372">
        <v>264</v>
      </c>
      <c r="AA372">
        <v>31</v>
      </c>
      <c r="AB372" t="s">
        <v>103</v>
      </c>
      <c r="AC372" t="s">
        <v>185</v>
      </c>
      <c r="AD372" t="s">
        <v>184</v>
      </c>
    </row>
    <row r="373" spans="1:30">
      <c r="A373" t="s">
        <v>220</v>
      </c>
      <c r="B373" s="16">
        <v>44562</v>
      </c>
      <c r="C373" s="394">
        <v>44565</v>
      </c>
      <c r="D373" t="s">
        <v>100</v>
      </c>
      <c r="E373">
        <v>5793</v>
      </c>
      <c r="F373">
        <v>460</v>
      </c>
      <c r="G373">
        <v>432</v>
      </c>
      <c r="H373">
        <v>155</v>
      </c>
      <c r="I373">
        <v>325</v>
      </c>
      <c r="J373">
        <v>27</v>
      </c>
      <c r="K373">
        <v>64</v>
      </c>
      <c r="L373">
        <v>28</v>
      </c>
      <c r="M373">
        <v>14</v>
      </c>
      <c r="N373">
        <v>20</v>
      </c>
      <c r="O373">
        <v>274</v>
      </c>
      <c r="P373">
        <v>120</v>
      </c>
      <c r="Q373">
        <v>102</v>
      </c>
      <c r="R373">
        <v>100</v>
      </c>
      <c r="S373">
        <v>810</v>
      </c>
      <c r="T373">
        <v>299</v>
      </c>
      <c r="U373">
        <v>511</v>
      </c>
      <c r="V373">
        <v>94</v>
      </c>
      <c r="W373">
        <v>203</v>
      </c>
      <c r="X373">
        <v>115</v>
      </c>
      <c r="Y373">
        <v>292</v>
      </c>
      <c r="Z373">
        <v>147</v>
      </c>
      <c r="AA373">
        <v>44</v>
      </c>
      <c r="AB373" t="s">
        <v>103</v>
      </c>
      <c r="AC373" t="s">
        <v>185</v>
      </c>
      <c r="AD373" t="s">
        <v>182</v>
      </c>
    </row>
    <row r="374" spans="1:30">
      <c r="A374" t="s">
        <v>220</v>
      </c>
      <c r="B374" s="16">
        <v>44562</v>
      </c>
      <c r="C374" s="394">
        <v>44565</v>
      </c>
      <c r="D374" t="s">
        <v>71</v>
      </c>
      <c r="E374">
        <v>5732</v>
      </c>
      <c r="F374">
        <v>346</v>
      </c>
      <c r="G374">
        <v>320</v>
      </c>
      <c r="H374">
        <v>142</v>
      </c>
      <c r="I374">
        <v>140</v>
      </c>
      <c r="J374">
        <v>8</v>
      </c>
      <c r="K374">
        <v>73</v>
      </c>
      <c r="L374">
        <v>39</v>
      </c>
      <c r="M374">
        <v>2</v>
      </c>
      <c r="N374">
        <v>31</v>
      </c>
      <c r="O374">
        <v>325</v>
      </c>
      <c r="P374">
        <v>198</v>
      </c>
      <c r="Q374">
        <v>196</v>
      </c>
      <c r="R374">
        <v>196</v>
      </c>
      <c r="S374">
        <v>1082</v>
      </c>
      <c r="T374">
        <v>405</v>
      </c>
      <c r="U374">
        <v>677</v>
      </c>
      <c r="V374">
        <v>48</v>
      </c>
      <c r="W374">
        <v>283</v>
      </c>
      <c r="X374">
        <v>126</v>
      </c>
      <c r="Y374">
        <v>478</v>
      </c>
      <c r="Z374">
        <v>279</v>
      </c>
      <c r="AA374">
        <v>12</v>
      </c>
      <c r="AB374" t="s">
        <v>74</v>
      </c>
      <c r="AC374" t="s">
        <v>154</v>
      </c>
      <c r="AD374" t="s">
        <v>152</v>
      </c>
    </row>
    <row r="375" spans="1:30">
      <c r="A375" t="s">
        <v>220</v>
      </c>
      <c r="B375" s="16">
        <v>44562</v>
      </c>
      <c r="C375" s="394">
        <v>44565</v>
      </c>
      <c r="D375" t="s">
        <v>95</v>
      </c>
      <c r="E375">
        <v>4536</v>
      </c>
      <c r="F375">
        <v>309</v>
      </c>
      <c r="G375">
        <v>299</v>
      </c>
      <c r="H375">
        <v>184</v>
      </c>
      <c r="I375">
        <v>107</v>
      </c>
      <c r="J375">
        <v>4</v>
      </c>
      <c r="K375">
        <v>30</v>
      </c>
      <c r="L375">
        <v>18</v>
      </c>
      <c r="M375">
        <v>5</v>
      </c>
      <c r="N375">
        <v>14</v>
      </c>
      <c r="O375">
        <v>203</v>
      </c>
      <c r="P375">
        <v>106</v>
      </c>
      <c r="Q375">
        <v>104</v>
      </c>
      <c r="R375">
        <v>104</v>
      </c>
      <c r="S375">
        <v>490</v>
      </c>
      <c r="T375">
        <v>219</v>
      </c>
      <c r="U375">
        <v>271</v>
      </c>
      <c r="V375">
        <v>36</v>
      </c>
      <c r="W375">
        <v>131</v>
      </c>
      <c r="X375">
        <v>73</v>
      </c>
      <c r="Y375">
        <v>178</v>
      </c>
      <c r="Z375">
        <v>85</v>
      </c>
      <c r="AA375">
        <v>8</v>
      </c>
      <c r="AB375" t="s">
        <v>97</v>
      </c>
      <c r="AC375" t="s">
        <v>179</v>
      </c>
      <c r="AD375" t="s">
        <v>177</v>
      </c>
    </row>
    <row r="376" spans="1:30">
      <c r="A376" t="s">
        <v>220</v>
      </c>
      <c r="B376" s="16">
        <v>44562</v>
      </c>
      <c r="C376" s="394">
        <v>44565</v>
      </c>
      <c r="D376" t="s">
        <v>83</v>
      </c>
      <c r="E376">
        <v>4118</v>
      </c>
      <c r="F376">
        <v>371</v>
      </c>
      <c r="G376">
        <v>355</v>
      </c>
      <c r="H376">
        <v>165</v>
      </c>
      <c r="I376">
        <v>130</v>
      </c>
      <c r="J376">
        <v>17</v>
      </c>
      <c r="K376">
        <v>35</v>
      </c>
      <c r="L376">
        <v>18</v>
      </c>
      <c r="M376">
        <v>0</v>
      </c>
      <c r="N376">
        <v>17</v>
      </c>
      <c r="O376">
        <v>215</v>
      </c>
      <c r="P376">
        <v>177</v>
      </c>
      <c r="Q376">
        <v>170</v>
      </c>
      <c r="R376">
        <v>171</v>
      </c>
      <c r="S376">
        <v>673</v>
      </c>
      <c r="T376">
        <v>310</v>
      </c>
      <c r="U376">
        <v>363</v>
      </c>
      <c r="V376">
        <v>60</v>
      </c>
      <c r="W376">
        <v>131</v>
      </c>
      <c r="X376">
        <v>66</v>
      </c>
      <c r="Y376">
        <v>215</v>
      </c>
      <c r="Z376">
        <v>123</v>
      </c>
      <c r="AA376">
        <v>17</v>
      </c>
      <c r="AB376" t="s">
        <v>84</v>
      </c>
      <c r="AC376" t="s">
        <v>166</v>
      </c>
      <c r="AD376" t="s">
        <v>164</v>
      </c>
    </row>
    <row r="377" spans="1:30">
      <c r="A377" t="s">
        <v>220</v>
      </c>
      <c r="B377" s="16">
        <v>44562</v>
      </c>
      <c r="C377" s="394">
        <v>44565</v>
      </c>
      <c r="D377" t="s">
        <v>92</v>
      </c>
      <c r="E377">
        <v>11749</v>
      </c>
      <c r="F377">
        <v>677</v>
      </c>
      <c r="G377">
        <v>639</v>
      </c>
      <c r="H377">
        <v>483</v>
      </c>
      <c r="I377">
        <v>235</v>
      </c>
      <c r="J377">
        <v>25</v>
      </c>
      <c r="K377">
        <v>87</v>
      </c>
      <c r="L377">
        <v>56</v>
      </c>
      <c r="M377">
        <v>39</v>
      </c>
      <c r="N377">
        <v>40</v>
      </c>
      <c r="O377">
        <v>677</v>
      </c>
      <c r="P377">
        <v>462</v>
      </c>
      <c r="Q377">
        <v>449</v>
      </c>
      <c r="R377">
        <v>457</v>
      </c>
      <c r="S377">
        <v>1292</v>
      </c>
      <c r="T377">
        <v>705</v>
      </c>
      <c r="U377">
        <v>587</v>
      </c>
      <c r="V377">
        <v>185</v>
      </c>
      <c r="W377">
        <v>315</v>
      </c>
      <c r="X377">
        <v>153</v>
      </c>
      <c r="Y377">
        <v>441</v>
      </c>
      <c r="Z377">
        <v>200</v>
      </c>
      <c r="AA377">
        <v>9</v>
      </c>
      <c r="AB377" t="s">
        <v>97</v>
      </c>
      <c r="AC377" t="s">
        <v>179</v>
      </c>
      <c r="AD377" t="s">
        <v>174</v>
      </c>
    </row>
    <row r="378" spans="1:30">
      <c r="A378" t="s">
        <v>220</v>
      </c>
      <c r="B378" s="16">
        <v>44562</v>
      </c>
      <c r="C378" s="394">
        <v>44565</v>
      </c>
      <c r="D378" t="s">
        <v>72</v>
      </c>
      <c r="E378">
        <v>5987</v>
      </c>
      <c r="F378">
        <v>366</v>
      </c>
      <c r="G378">
        <v>340</v>
      </c>
      <c r="H378">
        <v>310</v>
      </c>
      <c r="I378">
        <v>124</v>
      </c>
      <c r="J378">
        <v>32</v>
      </c>
      <c r="K378">
        <v>67</v>
      </c>
      <c r="L378">
        <v>46</v>
      </c>
      <c r="M378">
        <v>26</v>
      </c>
      <c r="N378">
        <v>10</v>
      </c>
      <c r="O378">
        <v>399</v>
      </c>
      <c r="P378">
        <v>300</v>
      </c>
      <c r="Q378">
        <v>293</v>
      </c>
      <c r="R378">
        <v>292</v>
      </c>
      <c r="S378">
        <v>841</v>
      </c>
      <c r="T378">
        <v>637</v>
      </c>
      <c r="U378">
        <v>204</v>
      </c>
      <c r="V378">
        <v>96</v>
      </c>
      <c r="W378">
        <v>240</v>
      </c>
      <c r="X378">
        <v>112</v>
      </c>
      <c r="Y378">
        <v>390</v>
      </c>
      <c r="Z378">
        <v>199</v>
      </c>
      <c r="AA378">
        <v>9</v>
      </c>
      <c r="AB378" t="s">
        <v>74</v>
      </c>
      <c r="AC378" t="s">
        <v>154</v>
      </c>
      <c r="AD378" t="s">
        <v>153</v>
      </c>
    </row>
    <row r="379" spans="1:30">
      <c r="A379" t="s">
        <v>220</v>
      </c>
      <c r="B379" s="16">
        <v>44562</v>
      </c>
      <c r="C379" s="394">
        <v>44565</v>
      </c>
      <c r="D379" t="s">
        <v>85</v>
      </c>
      <c r="E379">
        <v>5310</v>
      </c>
      <c r="F379">
        <v>319</v>
      </c>
      <c r="G379">
        <v>302</v>
      </c>
      <c r="H379">
        <v>179</v>
      </c>
      <c r="I379">
        <v>243</v>
      </c>
      <c r="J379">
        <v>48</v>
      </c>
      <c r="K379">
        <v>29</v>
      </c>
      <c r="L379">
        <v>20</v>
      </c>
      <c r="M379">
        <v>20</v>
      </c>
      <c r="N379">
        <v>20</v>
      </c>
      <c r="O379">
        <v>268</v>
      </c>
      <c r="P379">
        <v>169</v>
      </c>
      <c r="Q379">
        <v>168</v>
      </c>
      <c r="R379">
        <v>166</v>
      </c>
      <c r="S379">
        <v>595</v>
      </c>
      <c r="T379">
        <v>285</v>
      </c>
      <c r="U379">
        <v>310</v>
      </c>
      <c r="V379">
        <v>46</v>
      </c>
      <c r="W379">
        <v>158</v>
      </c>
      <c r="X379">
        <v>70</v>
      </c>
      <c r="Y379">
        <v>286</v>
      </c>
      <c r="Z379">
        <v>121</v>
      </c>
      <c r="AA379">
        <v>10</v>
      </c>
      <c r="AB379" t="s">
        <v>91</v>
      </c>
      <c r="AC379" t="s">
        <v>173</v>
      </c>
      <c r="AD379" t="s">
        <v>167</v>
      </c>
    </row>
    <row r="380" spans="1:30">
      <c r="A380" t="s">
        <v>220</v>
      </c>
      <c r="B380" s="16">
        <v>44562</v>
      </c>
      <c r="C380" s="394">
        <v>44565</v>
      </c>
      <c r="D380" t="s">
        <v>88</v>
      </c>
      <c r="E380">
        <v>4675</v>
      </c>
      <c r="F380">
        <v>429</v>
      </c>
      <c r="G380">
        <v>407</v>
      </c>
      <c r="H380">
        <v>261</v>
      </c>
      <c r="I380">
        <v>270</v>
      </c>
      <c r="J380">
        <v>40</v>
      </c>
      <c r="K380">
        <v>55</v>
      </c>
      <c r="L380">
        <v>44</v>
      </c>
      <c r="M380">
        <v>27</v>
      </c>
      <c r="N380">
        <v>39</v>
      </c>
      <c r="O380">
        <v>236</v>
      </c>
      <c r="P380">
        <v>147</v>
      </c>
      <c r="Q380">
        <v>141</v>
      </c>
      <c r="R380">
        <v>140</v>
      </c>
      <c r="S380">
        <v>683</v>
      </c>
      <c r="T380">
        <v>295</v>
      </c>
      <c r="U380">
        <v>388</v>
      </c>
      <c r="V380">
        <v>128</v>
      </c>
      <c r="W380">
        <v>201</v>
      </c>
      <c r="X380">
        <v>90</v>
      </c>
      <c r="Y380">
        <v>284</v>
      </c>
      <c r="Z380">
        <v>147</v>
      </c>
      <c r="AA380">
        <v>5</v>
      </c>
      <c r="AB380" t="s">
        <v>91</v>
      </c>
      <c r="AC380" t="s">
        <v>173</v>
      </c>
      <c r="AD380" t="s">
        <v>170</v>
      </c>
    </row>
    <row r="381" spans="1:30">
      <c r="A381" t="s">
        <v>220</v>
      </c>
      <c r="B381" s="16">
        <v>44562</v>
      </c>
      <c r="C381" s="394">
        <v>44565</v>
      </c>
      <c r="D381" t="s">
        <v>64</v>
      </c>
      <c r="E381">
        <v>5406</v>
      </c>
      <c r="F381">
        <v>305</v>
      </c>
      <c r="G381">
        <v>291</v>
      </c>
      <c r="H381">
        <v>121</v>
      </c>
      <c r="I381">
        <v>216</v>
      </c>
      <c r="J381">
        <v>15</v>
      </c>
      <c r="K381">
        <v>25</v>
      </c>
      <c r="L381">
        <v>11</v>
      </c>
      <c r="M381">
        <v>3</v>
      </c>
      <c r="N381">
        <v>7</v>
      </c>
      <c r="O381">
        <v>191</v>
      </c>
      <c r="P381">
        <v>88</v>
      </c>
      <c r="Q381">
        <v>69</v>
      </c>
      <c r="R381">
        <v>58</v>
      </c>
      <c r="S381">
        <v>546</v>
      </c>
      <c r="T381">
        <v>235</v>
      </c>
      <c r="U381">
        <v>311</v>
      </c>
      <c r="V381">
        <v>57</v>
      </c>
      <c r="W381">
        <v>116</v>
      </c>
      <c r="X381">
        <v>54</v>
      </c>
      <c r="Y381">
        <v>171</v>
      </c>
      <c r="Z381">
        <v>90</v>
      </c>
      <c r="AA381">
        <v>0</v>
      </c>
      <c r="AB381" t="s">
        <v>67</v>
      </c>
      <c r="AC381" t="s">
        <v>148</v>
      </c>
      <c r="AD381" t="s">
        <v>144</v>
      </c>
    </row>
    <row r="382" spans="1:30">
      <c r="A382" t="s">
        <v>220</v>
      </c>
      <c r="B382" s="16">
        <v>44562</v>
      </c>
      <c r="C382" s="394">
        <v>44565</v>
      </c>
      <c r="D382" t="s">
        <v>70</v>
      </c>
      <c r="E382">
        <v>10597</v>
      </c>
      <c r="F382">
        <v>813</v>
      </c>
      <c r="G382">
        <v>766</v>
      </c>
      <c r="H382">
        <v>426</v>
      </c>
      <c r="I382">
        <v>235</v>
      </c>
      <c r="J382">
        <v>17</v>
      </c>
      <c r="K382">
        <v>223</v>
      </c>
      <c r="L382">
        <v>188</v>
      </c>
      <c r="M382">
        <v>71</v>
      </c>
      <c r="N382">
        <v>159</v>
      </c>
      <c r="O382">
        <v>719</v>
      </c>
      <c r="P382">
        <v>456</v>
      </c>
      <c r="Q382">
        <v>435</v>
      </c>
      <c r="R382">
        <v>443</v>
      </c>
      <c r="S382">
        <v>1834</v>
      </c>
      <c r="T382">
        <v>954</v>
      </c>
      <c r="U382">
        <v>880</v>
      </c>
      <c r="V382">
        <v>304</v>
      </c>
      <c r="W382">
        <v>587</v>
      </c>
      <c r="X382">
        <v>254</v>
      </c>
      <c r="Y382">
        <v>826</v>
      </c>
      <c r="Z382">
        <v>380</v>
      </c>
      <c r="AA382">
        <v>89</v>
      </c>
      <c r="AB382" t="s">
        <v>74</v>
      </c>
      <c r="AC382" t="s">
        <v>154</v>
      </c>
      <c r="AD382" t="s">
        <v>151</v>
      </c>
    </row>
    <row r="383" spans="1:30">
      <c r="A383" t="s">
        <v>220</v>
      </c>
      <c r="B383" s="16">
        <v>44562</v>
      </c>
      <c r="C383" s="394">
        <v>44565</v>
      </c>
      <c r="D383" t="s">
        <v>96</v>
      </c>
      <c r="E383">
        <v>7206</v>
      </c>
      <c r="F383">
        <v>524</v>
      </c>
      <c r="G383">
        <v>502</v>
      </c>
      <c r="H383">
        <v>240</v>
      </c>
      <c r="I383">
        <v>373</v>
      </c>
      <c r="J383">
        <v>25</v>
      </c>
      <c r="K383">
        <v>92</v>
      </c>
      <c r="L383">
        <v>57</v>
      </c>
      <c r="M383">
        <v>47</v>
      </c>
      <c r="N383">
        <v>54</v>
      </c>
      <c r="O383">
        <v>364</v>
      </c>
      <c r="P383">
        <v>141</v>
      </c>
      <c r="Q383">
        <v>129</v>
      </c>
      <c r="R383">
        <v>122</v>
      </c>
      <c r="S383">
        <v>1096</v>
      </c>
      <c r="T383">
        <v>439</v>
      </c>
      <c r="U383">
        <v>657</v>
      </c>
      <c r="V383">
        <v>139</v>
      </c>
      <c r="W383">
        <v>257</v>
      </c>
      <c r="X383">
        <v>124</v>
      </c>
      <c r="Y383">
        <v>408</v>
      </c>
      <c r="Z383">
        <v>186</v>
      </c>
      <c r="AA383">
        <v>15</v>
      </c>
      <c r="AB383" t="s">
        <v>97</v>
      </c>
      <c r="AC383" t="s">
        <v>179</v>
      </c>
      <c r="AD383" t="s">
        <v>178</v>
      </c>
    </row>
    <row r="384" spans="1:30">
      <c r="A384" t="s">
        <v>220</v>
      </c>
      <c r="B384" s="16">
        <v>44562</v>
      </c>
      <c r="C384" s="394">
        <v>44565</v>
      </c>
      <c r="D384" t="s">
        <v>82</v>
      </c>
      <c r="E384">
        <v>6368</v>
      </c>
      <c r="F384">
        <v>514</v>
      </c>
      <c r="G384">
        <v>487</v>
      </c>
      <c r="H384">
        <v>310</v>
      </c>
      <c r="I384">
        <v>365</v>
      </c>
      <c r="J384">
        <v>44</v>
      </c>
      <c r="K384">
        <v>56</v>
      </c>
      <c r="L384">
        <v>29</v>
      </c>
      <c r="M384">
        <v>20</v>
      </c>
      <c r="N384">
        <v>22</v>
      </c>
      <c r="O384">
        <v>339</v>
      </c>
      <c r="P384">
        <v>249</v>
      </c>
      <c r="Q384">
        <v>249</v>
      </c>
      <c r="R384">
        <v>248</v>
      </c>
      <c r="S384">
        <v>695</v>
      </c>
      <c r="T384">
        <v>315</v>
      </c>
      <c r="U384">
        <v>380</v>
      </c>
      <c r="V384">
        <v>106</v>
      </c>
      <c r="W384">
        <v>196</v>
      </c>
      <c r="X384">
        <v>94</v>
      </c>
      <c r="Y384">
        <v>322</v>
      </c>
      <c r="Z384">
        <v>137</v>
      </c>
      <c r="AA384">
        <v>18</v>
      </c>
      <c r="AB384" t="s">
        <v>84</v>
      </c>
      <c r="AC384" t="s">
        <v>166</v>
      </c>
      <c r="AD384" t="s">
        <v>163</v>
      </c>
    </row>
    <row r="385" spans="1:30">
      <c r="A385" t="s">
        <v>220</v>
      </c>
      <c r="B385" s="16">
        <v>44562</v>
      </c>
      <c r="C385" s="394">
        <v>44565</v>
      </c>
      <c r="D385" t="s">
        <v>54</v>
      </c>
      <c r="E385">
        <v>6526</v>
      </c>
      <c r="F385">
        <v>414</v>
      </c>
      <c r="G385">
        <v>377</v>
      </c>
      <c r="H385">
        <v>216</v>
      </c>
      <c r="I385">
        <v>281</v>
      </c>
      <c r="J385">
        <v>28</v>
      </c>
      <c r="K385">
        <v>97</v>
      </c>
      <c r="L385">
        <v>79</v>
      </c>
      <c r="M385">
        <v>51</v>
      </c>
      <c r="N385">
        <v>71</v>
      </c>
      <c r="O385">
        <v>323</v>
      </c>
      <c r="P385">
        <v>232</v>
      </c>
      <c r="Q385">
        <v>225</v>
      </c>
      <c r="R385">
        <v>220</v>
      </c>
      <c r="S385">
        <v>866</v>
      </c>
      <c r="T385">
        <v>475</v>
      </c>
      <c r="U385">
        <v>391</v>
      </c>
      <c r="V385">
        <v>13</v>
      </c>
      <c r="W385">
        <v>262</v>
      </c>
      <c r="X385">
        <v>87</v>
      </c>
      <c r="Y385">
        <v>387</v>
      </c>
      <c r="Z385">
        <v>201</v>
      </c>
      <c r="AA385">
        <v>37</v>
      </c>
      <c r="AB385" t="s">
        <v>67</v>
      </c>
      <c r="AC385" t="s">
        <v>148</v>
      </c>
      <c r="AD385" t="s">
        <v>142</v>
      </c>
    </row>
    <row r="386" spans="1:30">
      <c r="A386" t="s">
        <v>220</v>
      </c>
      <c r="B386" s="16">
        <v>44562</v>
      </c>
      <c r="C386" s="394">
        <v>44565</v>
      </c>
      <c r="D386" t="s">
        <v>89</v>
      </c>
      <c r="E386">
        <v>11808</v>
      </c>
      <c r="F386">
        <v>870</v>
      </c>
      <c r="G386">
        <v>831</v>
      </c>
      <c r="H386">
        <v>535</v>
      </c>
      <c r="I386">
        <v>345</v>
      </c>
      <c r="J386">
        <v>34</v>
      </c>
      <c r="K386">
        <v>122</v>
      </c>
      <c r="L386">
        <v>105</v>
      </c>
      <c r="M386">
        <v>89</v>
      </c>
      <c r="N386">
        <v>97</v>
      </c>
      <c r="O386">
        <v>568</v>
      </c>
      <c r="P386">
        <v>418</v>
      </c>
      <c r="Q386">
        <v>405</v>
      </c>
      <c r="R386">
        <v>412</v>
      </c>
      <c r="S386">
        <v>1802</v>
      </c>
      <c r="T386">
        <v>951</v>
      </c>
      <c r="U386">
        <v>851</v>
      </c>
      <c r="V386">
        <v>316</v>
      </c>
      <c r="W386">
        <v>314</v>
      </c>
      <c r="X386">
        <v>167</v>
      </c>
      <c r="Y386">
        <v>423</v>
      </c>
      <c r="Z386">
        <v>225</v>
      </c>
      <c r="AA386">
        <v>44</v>
      </c>
      <c r="AB386" t="s">
        <v>91</v>
      </c>
      <c r="AC386" t="s">
        <v>173</v>
      </c>
      <c r="AD386" t="s">
        <v>171</v>
      </c>
    </row>
    <row r="387" spans="1:30">
      <c r="A387" t="s">
        <v>220</v>
      </c>
      <c r="B387" s="16">
        <v>44562</v>
      </c>
      <c r="C387" s="394">
        <v>44565</v>
      </c>
      <c r="D387" t="s">
        <v>101</v>
      </c>
      <c r="E387">
        <v>4639</v>
      </c>
      <c r="F387">
        <v>243</v>
      </c>
      <c r="G387">
        <v>226</v>
      </c>
      <c r="H387">
        <v>214</v>
      </c>
      <c r="I387">
        <v>153</v>
      </c>
      <c r="J387">
        <v>46</v>
      </c>
      <c r="K387">
        <v>30</v>
      </c>
      <c r="L387">
        <v>28</v>
      </c>
      <c r="M387">
        <v>28</v>
      </c>
      <c r="N387">
        <v>25</v>
      </c>
      <c r="O387">
        <v>205</v>
      </c>
      <c r="P387">
        <v>161</v>
      </c>
      <c r="Q387">
        <v>156</v>
      </c>
      <c r="R387">
        <v>154</v>
      </c>
      <c r="S387">
        <v>463</v>
      </c>
      <c r="T387">
        <v>272</v>
      </c>
      <c r="U387">
        <v>191</v>
      </c>
      <c r="V387">
        <v>39</v>
      </c>
      <c r="W387">
        <v>84</v>
      </c>
      <c r="X387">
        <v>49</v>
      </c>
      <c r="Y387">
        <v>138</v>
      </c>
      <c r="Z387">
        <v>78</v>
      </c>
      <c r="AA387">
        <v>17</v>
      </c>
      <c r="AB387" t="s">
        <v>103</v>
      </c>
      <c r="AC387" t="s">
        <v>185</v>
      </c>
      <c r="AD387" t="s">
        <v>183</v>
      </c>
    </row>
    <row r="388" spans="1:30">
      <c r="A388" t="s">
        <v>220</v>
      </c>
      <c r="B388" s="16">
        <v>44562</v>
      </c>
      <c r="C388" s="394">
        <v>44565</v>
      </c>
      <c r="D388" t="s">
        <v>66</v>
      </c>
      <c r="E388">
        <v>3242</v>
      </c>
      <c r="F388">
        <v>126</v>
      </c>
      <c r="G388">
        <v>113</v>
      </c>
      <c r="H388">
        <v>92</v>
      </c>
      <c r="I388">
        <v>71</v>
      </c>
      <c r="J388">
        <v>13</v>
      </c>
      <c r="K388">
        <v>42</v>
      </c>
      <c r="L388">
        <v>36</v>
      </c>
      <c r="M388">
        <v>5</v>
      </c>
      <c r="N388">
        <v>16</v>
      </c>
      <c r="O388">
        <v>189</v>
      </c>
      <c r="P388">
        <v>125</v>
      </c>
      <c r="Q388">
        <v>119</v>
      </c>
      <c r="R388">
        <v>116</v>
      </c>
      <c r="S388">
        <v>296</v>
      </c>
      <c r="T388">
        <v>196</v>
      </c>
      <c r="U388">
        <v>100</v>
      </c>
      <c r="V388">
        <v>38</v>
      </c>
      <c r="W388">
        <v>78</v>
      </c>
      <c r="X388">
        <v>41</v>
      </c>
      <c r="Y388">
        <v>110</v>
      </c>
      <c r="Z388">
        <v>53</v>
      </c>
      <c r="AA388">
        <v>12</v>
      </c>
      <c r="AB388" t="s">
        <v>67</v>
      </c>
      <c r="AC388" t="s">
        <v>148</v>
      </c>
      <c r="AD388" t="s">
        <v>146</v>
      </c>
    </row>
    <row r="389" spans="1:30">
      <c r="A389" t="s">
        <v>220</v>
      </c>
      <c r="B389" s="16">
        <v>44562</v>
      </c>
      <c r="C389" s="394">
        <v>44565</v>
      </c>
      <c r="D389" t="s">
        <v>80</v>
      </c>
      <c r="E389">
        <v>5508</v>
      </c>
      <c r="F389">
        <v>356</v>
      </c>
      <c r="G389">
        <v>341</v>
      </c>
      <c r="H389">
        <v>277</v>
      </c>
      <c r="I389">
        <v>78</v>
      </c>
      <c r="J389">
        <v>6</v>
      </c>
      <c r="K389">
        <v>25</v>
      </c>
      <c r="L389">
        <v>20</v>
      </c>
      <c r="M389">
        <v>15</v>
      </c>
      <c r="N389">
        <v>20</v>
      </c>
      <c r="O389">
        <v>239</v>
      </c>
      <c r="P389">
        <v>206</v>
      </c>
      <c r="Q389">
        <v>204</v>
      </c>
      <c r="R389">
        <v>204</v>
      </c>
      <c r="S389">
        <v>581</v>
      </c>
      <c r="T389">
        <v>349</v>
      </c>
      <c r="U389">
        <v>232</v>
      </c>
      <c r="V389">
        <v>109</v>
      </c>
      <c r="W389">
        <v>145</v>
      </c>
      <c r="X389">
        <v>90</v>
      </c>
      <c r="Y389">
        <v>210</v>
      </c>
      <c r="Z389">
        <v>103</v>
      </c>
      <c r="AA389">
        <v>11</v>
      </c>
      <c r="AB389" t="s">
        <v>84</v>
      </c>
      <c r="AC389" t="s">
        <v>166</v>
      </c>
      <c r="AD389" t="s">
        <v>161</v>
      </c>
    </row>
    <row r="390" spans="1:30">
      <c r="A390" t="s">
        <v>220</v>
      </c>
      <c r="B390" s="16">
        <v>44562</v>
      </c>
      <c r="C390" s="394">
        <v>44565</v>
      </c>
      <c r="D390" t="s">
        <v>52</v>
      </c>
      <c r="E390">
        <v>3073</v>
      </c>
      <c r="F390">
        <v>224</v>
      </c>
      <c r="G390">
        <v>209</v>
      </c>
      <c r="H390">
        <v>162</v>
      </c>
      <c r="I390">
        <v>52</v>
      </c>
      <c r="J390">
        <v>9</v>
      </c>
      <c r="K390">
        <v>109</v>
      </c>
      <c r="L390">
        <v>95</v>
      </c>
      <c r="M390">
        <v>64</v>
      </c>
      <c r="N390">
        <v>27</v>
      </c>
      <c r="O390">
        <v>228</v>
      </c>
      <c r="P390">
        <v>177</v>
      </c>
      <c r="Q390">
        <v>174</v>
      </c>
      <c r="R390">
        <v>173</v>
      </c>
      <c r="S390">
        <v>750</v>
      </c>
      <c r="T390">
        <v>548</v>
      </c>
      <c r="U390">
        <v>202</v>
      </c>
      <c r="V390">
        <v>40</v>
      </c>
      <c r="W390">
        <v>210</v>
      </c>
      <c r="X390">
        <v>70</v>
      </c>
      <c r="Y390">
        <v>269</v>
      </c>
      <c r="Z390">
        <v>164</v>
      </c>
      <c r="AA390">
        <v>33</v>
      </c>
      <c r="AB390" t="s">
        <v>67</v>
      </c>
      <c r="AC390" t="s">
        <v>148</v>
      </c>
      <c r="AD390" t="s">
        <v>141</v>
      </c>
    </row>
    <row r="391" spans="1:30">
      <c r="A391" t="s">
        <v>220</v>
      </c>
      <c r="B391" s="16">
        <v>44562</v>
      </c>
      <c r="C391" s="394">
        <v>44565</v>
      </c>
      <c r="D391" t="s">
        <v>87</v>
      </c>
      <c r="E391">
        <v>3016</v>
      </c>
      <c r="F391">
        <v>259</v>
      </c>
      <c r="G391">
        <v>247</v>
      </c>
      <c r="H391">
        <v>160</v>
      </c>
      <c r="I391">
        <v>187</v>
      </c>
      <c r="J391">
        <v>16</v>
      </c>
      <c r="K391">
        <v>24</v>
      </c>
      <c r="L391">
        <v>19</v>
      </c>
      <c r="M391">
        <v>16</v>
      </c>
      <c r="N391">
        <v>19</v>
      </c>
      <c r="O391">
        <v>133</v>
      </c>
      <c r="P391">
        <v>127</v>
      </c>
      <c r="Q391">
        <v>97</v>
      </c>
      <c r="R391">
        <v>97</v>
      </c>
      <c r="S391">
        <v>455</v>
      </c>
      <c r="T391">
        <v>259</v>
      </c>
      <c r="U391">
        <v>196</v>
      </c>
      <c r="V391">
        <v>92</v>
      </c>
      <c r="W391">
        <v>91</v>
      </c>
      <c r="X391">
        <v>47</v>
      </c>
      <c r="Y391">
        <v>130</v>
      </c>
      <c r="Z391">
        <v>81</v>
      </c>
      <c r="AA391">
        <v>2</v>
      </c>
      <c r="AB391" t="s">
        <v>91</v>
      </c>
      <c r="AC391" t="s">
        <v>173</v>
      </c>
      <c r="AD391" t="s">
        <v>169</v>
      </c>
    </row>
    <row r="392" spans="1:30">
      <c r="A392" t="s">
        <v>220</v>
      </c>
      <c r="B392" s="16">
        <v>44562</v>
      </c>
      <c r="C392" s="394">
        <v>44565</v>
      </c>
      <c r="D392" t="s">
        <v>90</v>
      </c>
      <c r="E392">
        <v>2923</v>
      </c>
      <c r="F392">
        <v>220</v>
      </c>
      <c r="G392">
        <v>210</v>
      </c>
      <c r="H392">
        <v>176</v>
      </c>
      <c r="I392">
        <v>135</v>
      </c>
      <c r="J392">
        <v>13</v>
      </c>
      <c r="K392">
        <v>27</v>
      </c>
      <c r="L392">
        <v>21</v>
      </c>
      <c r="M392">
        <v>19</v>
      </c>
      <c r="N392">
        <v>12</v>
      </c>
      <c r="O392">
        <v>99</v>
      </c>
      <c r="P392">
        <v>89</v>
      </c>
      <c r="Q392">
        <v>88</v>
      </c>
      <c r="R392">
        <v>87</v>
      </c>
      <c r="S392">
        <v>339</v>
      </c>
      <c r="T392">
        <v>187</v>
      </c>
      <c r="U392">
        <v>152</v>
      </c>
      <c r="V392">
        <v>40</v>
      </c>
      <c r="W392">
        <v>83</v>
      </c>
      <c r="X392">
        <v>40</v>
      </c>
      <c r="Y392">
        <v>121</v>
      </c>
      <c r="Z392">
        <v>49</v>
      </c>
      <c r="AA392">
        <v>2</v>
      </c>
      <c r="AB392" t="s">
        <v>91</v>
      </c>
      <c r="AC392" t="s">
        <v>173</v>
      </c>
      <c r="AD392" t="s">
        <v>172</v>
      </c>
    </row>
    <row r="393" spans="1:30">
      <c r="A393" t="s">
        <v>220</v>
      </c>
      <c r="B393" s="16">
        <v>44562</v>
      </c>
      <c r="C393" s="394">
        <v>44565</v>
      </c>
      <c r="D393" t="s">
        <v>93</v>
      </c>
      <c r="E393">
        <v>2250</v>
      </c>
      <c r="F393">
        <v>213</v>
      </c>
      <c r="G393">
        <v>202</v>
      </c>
      <c r="H393">
        <v>148</v>
      </c>
      <c r="I393">
        <v>53</v>
      </c>
      <c r="J393">
        <v>5</v>
      </c>
      <c r="K393">
        <v>17</v>
      </c>
      <c r="L393">
        <v>10</v>
      </c>
      <c r="M393">
        <v>9</v>
      </c>
      <c r="N393">
        <v>10</v>
      </c>
      <c r="O393">
        <v>161</v>
      </c>
      <c r="P393">
        <v>134</v>
      </c>
      <c r="Q393">
        <v>132</v>
      </c>
      <c r="R393">
        <v>131</v>
      </c>
      <c r="S393">
        <v>387</v>
      </c>
      <c r="T393">
        <v>173</v>
      </c>
      <c r="U393">
        <v>214</v>
      </c>
      <c r="V393">
        <v>63</v>
      </c>
      <c r="W393">
        <v>88</v>
      </c>
      <c r="X393">
        <v>42</v>
      </c>
      <c r="Y393">
        <v>132</v>
      </c>
      <c r="Z393">
        <v>59</v>
      </c>
      <c r="AA393">
        <v>17</v>
      </c>
      <c r="AB393" t="s">
        <v>97</v>
      </c>
      <c r="AC393" t="s">
        <v>179</v>
      </c>
      <c r="AD393" t="s">
        <v>175</v>
      </c>
    </row>
    <row r="394" spans="1:30">
      <c r="A394" t="s">
        <v>220</v>
      </c>
      <c r="B394" s="16">
        <v>44562</v>
      </c>
      <c r="C394" s="394">
        <v>44565</v>
      </c>
      <c r="D394" t="s">
        <v>81</v>
      </c>
      <c r="E394">
        <v>2791</v>
      </c>
      <c r="F394">
        <v>209</v>
      </c>
      <c r="G394">
        <v>195</v>
      </c>
      <c r="H394">
        <v>87</v>
      </c>
      <c r="I394">
        <v>159</v>
      </c>
      <c r="J394">
        <v>27</v>
      </c>
      <c r="K394">
        <v>12</v>
      </c>
      <c r="L394">
        <v>12</v>
      </c>
      <c r="M394">
        <v>10</v>
      </c>
      <c r="N394">
        <v>12</v>
      </c>
      <c r="O394">
        <v>98</v>
      </c>
      <c r="P394">
        <v>72</v>
      </c>
      <c r="Q394">
        <v>71</v>
      </c>
      <c r="R394">
        <v>71</v>
      </c>
      <c r="S394">
        <v>336</v>
      </c>
      <c r="T394">
        <v>195</v>
      </c>
      <c r="U394">
        <v>141</v>
      </c>
      <c r="V394">
        <v>60</v>
      </c>
      <c r="W394">
        <v>63</v>
      </c>
      <c r="X394">
        <v>31</v>
      </c>
      <c r="Y394">
        <v>134</v>
      </c>
      <c r="Z394">
        <v>55</v>
      </c>
      <c r="AA394">
        <v>5</v>
      </c>
      <c r="AB394" t="s">
        <v>84</v>
      </c>
      <c r="AC394" t="s">
        <v>166</v>
      </c>
      <c r="AD394" t="s">
        <v>162</v>
      </c>
    </row>
    <row r="395" spans="1:30">
      <c r="A395" t="s">
        <v>220</v>
      </c>
      <c r="B395" s="16">
        <v>44562</v>
      </c>
      <c r="C395" s="394">
        <v>44565</v>
      </c>
      <c r="D395" t="s">
        <v>69</v>
      </c>
      <c r="E395">
        <v>7044</v>
      </c>
      <c r="F395">
        <v>495</v>
      </c>
      <c r="G395">
        <v>465</v>
      </c>
      <c r="H395">
        <v>351</v>
      </c>
      <c r="I395">
        <v>140</v>
      </c>
      <c r="J395">
        <v>11</v>
      </c>
      <c r="K395">
        <v>110</v>
      </c>
      <c r="L395">
        <v>91</v>
      </c>
      <c r="M395">
        <v>29</v>
      </c>
      <c r="N395">
        <v>52</v>
      </c>
      <c r="O395">
        <v>460</v>
      </c>
      <c r="P395">
        <v>329</v>
      </c>
      <c r="Q395">
        <v>320</v>
      </c>
      <c r="R395">
        <v>319</v>
      </c>
      <c r="S395">
        <v>1240</v>
      </c>
      <c r="T395">
        <v>799</v>
      </c>
      <c r="U395">
        <v>441</v>
      </c>
      <c r="V395">
        <v>225</v>
      </c>
      <c r="W395">
        <v>324</v>
      </c>
      <c r="X395">
        <v>158</v>
      </c>
      <c r="Y395">
        <v>507</v>
      </c>
      <c r="Z395">
        <v>157</v>
      </c>
      <c r="AA395">
        <v>13</v>
      </c>
      <c r="AB395" t="s">
        <v>74</v>
      </c>
      <c r="AC395" t="s">
        <v>154</v>
      </c>
      <c r="AD395" t="s">
        <v>150</v>
      </c>
    </row>
    <row r="396" spans="1:30">
      <c r="A396" t="s">
        <v>220</v>
      </c>
      <c r="B396" s="16">
        <v>44562</v>
      </c>
      <c r="C396" s="394">
        <v>44565</v>
      </c>
      <c r="D396" t="s">
        <v>65</v>
      </c>
      <c r="E396">
        <v>4858</v>
      </c>
      <c r="F396">
        <v>418</v>
      </c>
      <c r="G396">
        <v>393</v>
      </c>
      <c r="H396">
        <v>159</v>
      </c>
      <c r="I396">
        <v>268</v>
      </c>
      <c r="J396">
        <v>20</v>
      </c>
      <c r="K396">
        <v>78</v>
      </c>
      <c r="L396">
        <v>32</v>
      </c>
      <c r="M396">
        <v>15</v>
      </c>
      <c r="N396">
        <v>18</v>
      </c>
      <c r="O396">
        <v>315</v>
      </c>
      <c r="P396">
        <v>105</v>
      </c>
      <c r="Q396">
        <v>104</v>
      </c>
      <c r="R396">
        <v>100</v>
      </c>
      <c r="S396">
        <v>713</v>
      </c>
      <c r="T396">
        <v>246</v>
      </c>
      <c r="U396">
        <v>467</v>
      </c>
      <c r="V396">
        <v>48</v>
      </c>
      <c r="W396">
        <v>161</v>
      </c>
      <c r="X396">
        <v>84</v>
      </c>
      <c r="Y396">
        <v>265</v>
      </c>
      <c r="Z396">
        <v>98</v>
      </c>
      <c r="AA396">
        <v>26</v>
      </c>
      <c r="AB396" t="s">
        <v>67</v>
      </c>
      <c r="AC396" t="s">
        <v>148</v>
      </c>
      <c r="AD396" t="s">
        <v>145</v>
      </c>
    </row>
    <row r="397" spans="1:30">
      <c r="A397" t="s">
        <v>220</v>
      </c>
      <c r="B397" s="16">
        <v>44593</v>
      </c>
      <c r="C397" s="394">
        <v>44594</v>
      </c>
      <c r="D397" t="s">
        <v>94</v>
      </c>
      <c r="E397">
        <v>6210</v>
      </c>
      <c r="F397">
        <v>546</v>
      </c>
      <c r="G397">
        <v>518</v>
      </c>
      <c r="H397">
        <v>357</v>
      </c>
      <c r="I397">
        <v>375</v>
      </c>
      <c r="J397">
        <v>52</v>
      </c>
      <c r="K397">
        <v>82</v>
      </c>
      <c r="L397">
        <v>57</v>
      </c>
      <c r="M397">
        <v>34</v>
      </c>
      <c r="N397">
        <v>37</v>
      </c>
      <c r="O397">
        <v>343</v>
      </c>
      <c r="P397">
        <v>226</v>
      </c>
      <c r="Q397">
        <v>213</v>
      </c>
      <c r="R397">
        <v>217</v>
      </c>
      <c r="S397">
        <v>891</v>
      </c>
      <c r="T397">
        <v>452</v>
      </c>
      <c r="U397">
        <v>439</v>
      </c>
      <c r="V397">
        <v>103</v>
      </c>
      <c r="W397">
        <v>234</v>
      </c>
      <c r="X397">
        <v>105</v>
      </c>
      <c r="Y397">
        <v>325</v>
      </c>
      <c r="Z397">
        <v>143</v>
      </c>
      <c r="AA397">
        <v>15</v>
      </c>
      <c r="AB397" t="s">
        <v>97</v>
      </c>
      <c r="AC397" t="s">
        <v>179</v>
      </c>
      <c r="AD397" t="s">
        <v>176</v>
      </c>
    </row>
    <row r="398" spans="1:30">
      <c r="A398" t="s">
        <v>220</v>
      </c>
      <c r="B398" s="16">
        <v>44593</v>
      </c>
      <c r="C398" s="394">
        <v>44594</v>
      </c>
      <c r="D398" t="s">
        <v>61</v>
      </c>
      <c r="E398">
        <v>7284</v>
      </c>
      <c r="F398">
        <v>360</v>
      </c>
      <c r="G398">
        <v>330</v>
      </c>
      <c r="H398">
        <v>211</v>
      </c>
      <c r="I398">
        <v>240</v>
      </c>
      <c r="J398">
        <v>38</v>
      </c>
      <c r="K398">
        <v>102</v>
      </c>
      <c r="L398">
        <v>89</v>
      </c>
      <c r="M398">
        <v>17</v>
      </c>
      <c r="N398">
        <v>70</v>
      </c>
      <c r="O398">
        <v>376</v>
      </c>
      <c r="P398">
        <v>191</v>
      </c>
      <c r="Q398">
        <v>185</v>
      </c>
      <c r="R398">
        <v>189</v>
      </c>
      <c r="S398">
        <v>806</v>
      </c>
      <c r="T398">
        <v>424</v>
      </c>
      <c r="U398">
        <v>382</v>
      </c>
      <c r="V398">
        <v>114</v>
      </c>
      <c r="W398">
        <v>152</v>
      </c>
      <c r="X398">
        <v>81</v>
      </c>
      <c r="Y398">
        <v>269</v>
      </c>
      <c r="Z398">
        <v>145</v>
      </c>
      <c r="AA398">
        <v>10</v>
      </c>
      <c r="AB398" t="s">
        <v>67</v>
      </c>
      <c r="AC398" t="s">
        <v>148</v>
      </c>
      <c r="AD398" t="s">
        <v>143</v>
      </c>
    </row>
    <row r="399" spans="1:30">
      <c r="A399" t="s">
        <v>220</v>
      </c>
      <c r="B399" s="16">
        <v>44593</v>
      </c>
      <c r="C399" s="394">
        <v>44594</v>
      </c>
      <c r="D399" t="s">
        <v>98</v>
      </c>
      <c r="E399">
        <v>5330</v>
      </c>
      <c r="F399">
        <v>438</v>
      </c>
      <c r="G399">
        <v>417</v>
      </c>
      <c r="H399">
        <v>323</v>
      </c>
      <c r="I399">
        <v>287</v>
      </c>
      <c r="J399">
        <v>38</v>
      </c>
      <c r="K399">
        <v>58</v>
      </c>
      <c r="L399">
        <v>33</v>
      </c>
      <c r="M399">
        <v>24</v>
      </c>
      <c r="N399">
        <v>29</v>
      </c>
      <c r="O399">
        <v>245</v>
      </c>
      <c r="P399">
        <v>124</v>
      </c>
      <c r="Q399">
        <v>123</v>
      </c>
      <c r="R399">
        <v>122</v>
      </c>
      <c r="S399">
        <v>851</v>
      </c>
      <c r="T399">
        <v>357</v>
      </c>
      <c r="U399">
        <v>494</v>
      </c>
      <c r="V399">
        <v>194</v>
      </c>
      <c r="W399">
        <v>169</v>
      </c>
      <c r="X399">
        <v>103</v>
      </c>
      <c r="Y399">
        <v>291</v>
      </c>
      <c r="Z399">
        <v>129</v>
      </c>
      <c r="AA399">
        <v>19</v>
      </c>
      <c r="AB399" t="s">
        <v>103</v>
      </c>
      <c r="AC399" t="s">
        <v>185</v>
      </c>
      <c r="AD399" t="s">
        <v>180</v>
      </c>
    </row>
    <row r="400" spans="1:30">
      <c r="A400" t="s">
        <v>220</v>
      </c>
      <c r="B400" s="16">
        <v>44593</v>
      </c>
      <c r="C400" s="394">
        <v>44594</v>
      </c>
      <c r="D400" t="s">
        <v>75</v>
      </c>
      <c r="E400">
        <v>7804</v>
      </c>
      <c r="F400">
        <v>738</v>
      </c>
      <c r="G400">
        <v>694</v>
      </c>
      <c r="H400">
        <v>600</v>
      </c>
      <c r="I400">
        <v>444</v>
      </c>
      <c r="J400">
        <v>59</v>
      </c>
      <c r="K400">
        <v>92</v>
      </c>
      <c r="L400">
        <v>83</v>
      </c>
      <c r="M400">
        <v>69</v>
      </c>
      <c r="N400">
        <v>74</v>
      </c>
      <c r="O400">
        <v>338</v>
      </c>
      <c r="P400">
        <v>295</v>
      </c>
      <c r="Q400">
        <v>285</v>
      </c>
      <c r="R400">
        <v>289</v>
      </c>
      <c r="S400">
        <v>1130</v>
      </c>
      <c r="T400">
        <v>581</v>
      </c>
      <c r="U400">
        <v>549</v>
      </c>
      <c r="V400">
        <v>204</v>
      </c>
      <c r="W400">
        <v>351</v>
      </c>
      <c r="X400">
        <v>189</v>
      </c>
      <c r="Y400">
        <v>508</v>
      </c>
      <c r="Z400">
        <v>228</v>
      </c>
      <c r="AA400">
        <v>67</v>
      </c>
      <c r="AB400" t="s">
        <v>77</v>
      </c>
      <c r="AC400" t="s">
        <v>158</v>
      </c>
      <c r="AD400" t="s">
        <v>155</v>
      </c>
    </row>
    <row r="401" spans="1:30">
      <c r="A401" t="s">
        <v>220</v>
      </c>
      <c r="B401" s="16">
        <v>44593</v>
      </c>
      <c r="C401" s="394">
        <v>44594</v>
      </c>
      <c r="D401" t="s">
        <v>99</v>
      </c>
      <c r="E401">
        <v>6247</v>
      </c>
      <c r="F401">
        <v>557</v>
      </c>
      <c r="G401">
        <v>539</v>
      </c>
      <c r="H401">
        <v>494</v>
      </c>
      <c r="I401">
        <v>453</v>
      </c>
      <c r="J401">
        <v>145</v>
      </c>
      <c r="K401">
        <v>38</v>
      </c>
      <c r="L401">
        <v>34</v>
      </c>
      <c r="M401">
        <v>29</v>
      </c>
      <c r="N401">
        <v>33</v>
      </c>
      <c r="O401">
        <v>352</v>
      </c>
      <c r="P401">
        <v>316</v>
      </c>
      <c r="Q401">
        <v>315</v>
      </c>
      <c r="R401">
        <v>309</v>
      </c>
      <c r="S401">
        <v>734</v>
      </c>
      <c r="T401">
        <v>533</v>
      </c>
      <c r="U401">
        <v>201</v>
      </c>
      <c r="V401">
        <v>86</v>
      </c>
      <c r="W401">
        <v>202</v>
      </c>
      <c r="X401">
        <v>130</v>
      </c>
      <c r="Y401">
        <v>325</v>
      </c>
      <c r="Z401">
        <v>153</v>
      </c>
      <c r="AA401">
        <v>23</v>
      </c>
      <c r="AB401" t="s">
        <v>103</v>
      </c>
      <c r="AC401" t="s">
        <v>185</v>
      </c>
      <c r="AD401" t="s">
        <v>221</v>
      </c>
    </row>
    <row r="402" spans="1:30">
      <c r="A402" t="s">
        <v>220</v>
      </c>
      <c r="B402" s="16">
        <v>44593</v>
      </c>
      <c r="C402" s="394">
        <v>44594</v>
      </c>
      <c r="D402" t="s">
        <v>78</v>
      </c>
      <c r="E402">
        <v>11646</v>
      </c>
      <c r="F402">
        <v>784</v>
      </c>
      <c r="G402">
        <v>720</v>
      </c>
      <c r="H402">
        <v>457</v>
      </c>
      <c r="I402">
        <v>530</v>
      </c>
      <c r="J402">
        <v>70</v>
      </c>
      <c r="K402">
        <v>105</v>
      </c>
      <c r="L402">
        <v>93</v>
      </c>
      <c r="M402">
        <v>90</v>
      </c>
      <c r="N402">
        <v>91</v>
      </c>
      <c r="O402">
        <v>607</v>
      </c>
      <c r="P402">
        <v>382</v>
      </c>
      <c r="Q402">
        <v>380</v>
      </c>
      <c r="R402">
        <v>376</v>
      </c>
      <c r="S402">
        <v>1424</v>
      </c>
      <c r="T402">
        <v>677</v>
      </c>
      <c r="U402">
        <v>747</v>
      </c>
      <c r="V402">
        <v>122</v>
      </c>
      <c r="W402">
        <v>362</v>
      </c>
      <c r="X402">
        <v>177</v>
      </c>
      <c r="Y402">
        <v>563</v>
      </c>
      <c r="Z402">
        <v>222</v>
      </c>
      <c r="AA402">
        <v>31</v>
      </c>
      <c r="AB402" t="s">
        <v>84</v>
      </c>
      <c r="AC402" t="s">
        <v>166</v>
      </c>
      <c r="AD402" t="s">
        <v>159</v>
      </c>
    </row>
    <row r="403" spans="1:30">
      <c r="A403" t="s">
        <v>220</v>
      </c>
      <c r="B403" s="16">
        <v>44593</v>
      </c>
      <c r="C403" s="394">
        <v>44594</v>
      </c>
      <c r="D403" t="s">
        <v>76</v>
      </c>
      <c r="E403">
        <v>8350</v>
      </c>
      <c r="F403">
        <v>803</v>
      </c>
      <c r="G403">
        <v>773</v>
      </c>
      <c r="H403">
        <v>681</v>
      </c>
      <c r="I403">
        <v>508</v>
      </c>
      <c r="J403">
        <v>110</v>
      </c>
      <c r="K403">
        <v>44</v>
      </c>
      <c r="L403">
        <v>42</v>
      </c>
      <c r="M403">
        <v>37</v>
      </c>
      <c r="N403">
        <v>41</v>
      </c>
      <c r="O403">
        <v>443</v>
      </c>
      <c r="P403">
        <v>371</v>
      </c>
      <c r="Q403">
        <v>363</v>
      </c>
      <c r="R403">
        <v>360</v>
      </c>
      <c r="S403">
        <v>1080</v>
      </c>
      <c r="T403">
        <v>669</v>
      </c>
      <c r="U403">
        <v>411</v>
      </c>
      <c r="V403">
        <v>154</v>
      </c>
      <c r="W403">
        <v>347</v>
      </c>
      <c r="X403">
        <v>196</v>
      </c>
      <c r="Y403">
        <v>441</v>
      </c>
      <c r="Z403">
        <v>179</v>
      </c>
      <c r="AA403">
        <v>63</v>
      </c>
      <c r="AB403" t="s">
        <v>77</v>
      </c>
      <c r="AC403" t="s">
        <v>158</v>
      </c>
      <c r="AD403" t="s">
        <v>156</v>
      </c>
    </row>
    <row r="404" spans="1:30">
      <c r="A404" t="s">
        <v>220</v>
      </c>
      <c r="B404" s="16">
        <v>44593</v>
      </c>
      <c r="C404" s="394">
        <v>44594</v>
      </c>
      <c r="D404" t="s">
        <v>79</v>
      </c>
      <c r="E404">
        <v>8516</v>
      </c>
      <c r="F404">
        <v>411</v>
      </c>
      <c r="G404">
        <v>378</v>
      </c>
      <c r="H404">
        <v>301</v>
      </c>
      <c r="I404">
        <v>237</v>
      </c>
      <c r="J404">
        <v>28</v>
      </c>
      <c r="K404">
        <v>33</v>
      </c>
      <c r="L404">
        <v>28</v>
      </c>
      <c r="M404">
        <v>23</v>
      </c>
      <c r="N404">
        <v>28</v>
      </c>
      <c r="O404">
        <v>332</v>
      </c>
      <c r="P404">
        <v>281</v>
      </c>
      <c r="Q404">
        <v>278</v>
      </c>
      <c r="R404">
        <v>279</v>
      </c>
      <c r="S404">
        <v>760</v>
      </c>
      <c r="T404">
        <v>352</v>
      </c>
      <c r="U404">
        <v>408</v>
      </c>
      <c r="V404">
        <v>86</v>
      </c>
      <c r="W404">
        <v>150</v>
      </c>
      <c r="X404">
        <v>86</v>
      </c>
      <c r="Y404">
        <v>268</v>
      </c>
      <c r="Z404">
        <v>140</v>
      </c>
      <c r="AA404">
        <v>9</v>
      </c>
      <c r="AB404" t="s">
        <v>84</v>
      </c>
      <c r="AC404" t="s">
        <v>166</v>
      </c>
      <c r="AD404" t="s">
        <v>160</v>
      </c>
    </row>
    <row r="405" spans="1:30">
      <c r="A405" t="s">
        <v>220</v>
      </c>
      <c r="B405" s="16">
        <v>44593</v>
      </c>
      <c r="C405" s="394">
        <v>44594</v>
      </c>
      <c r="D405" t="s">
        <v>86</v>
      </c>
      <c r="E405">
        <v>1691</v>
      </c>
      <c r="F405">
        <v>135</v>
      </c>
      <c r="G405">
        <v>132</v>
      </c>
      <c r="H405">
        <v>112</v>
      </c>
      <c r="I405">
        <v>104</v>
      </c>
      <c r="J405">
        <v>23</v>
      </c>
      <c r="K405">
        <v>19</v>
      </c>
      <c r="L405">
        <v>12</v>
      </c>
      <c r="M405">
        <v>9</v>
      </c>
      <c r="N405">
        <v>8</v>
      </c>
      <c r="O405">
        <v>81</v>
      </c>
      <c r="P405">
        <v>60</v>
      </c>
      <c r="Q405">
        <v>60</v>
      </c>
      <c r="R405">
        <v>60</v>
      </c>
      <c r="S405">
        <v>261</v>
      </c>
      <c r="T405">
        <v>137</v>
      </c>
      <c r="U405">
        <v>124</v>
      </c>
      <c r="V405">
        <v>19</v>
      </c>
      <c r="W405">
        <v>69</v>
      </c>
      <c r="X405">
        <v>32</v>
      </c>
      <c r="Y405">
        <v>80</v>
      </c>
      <c r="Z405">
        <v>25</v>
      </c>
      <c r="AA405">
        <v>4</v>
      </c>
      <c r="AB405" t="s">
        <v>91</v>
      </c>
      <c r="AC405" t="s">
        <v>173</v>
      </c>
      <c r="AD405" t="s">
        <v>168</v>
      </c>
    </row>
    <row r="406" spans="1:30">
      <c r="A406" t="s">
        <v>220</v>
      </c>
      <c r="B406" s="16">
        <v>44593</v>
      </c>
      <c r="C406" s="394">
        <v>44594</v>
      </c>
      <c r="D406" t="s">
        <v>102</v>
      </c>
      <c r="E406">
        <v>13034</v>
      </c>
      <c r="F406">
        <v>780</v>
      </c>
      <c r="G406">
        <v>722</v>
      </c>
      <c r="H406">
        <v>487</v>
      </c>
      <c r="I406">
        <v>565</v>
      </c>
      <c r="J406">
        <v>72</v>
      </c>
      <c r="K406">
        <v>109</v>
      </c>
      <c r="L406">
        <v>84</v>
      </c>
      <c r="M406">
        <v>70</v>
      </c>
      <c r="N406">
        <v>78</v>
      </c>
      <c r="O406">
        <v>559</v>
      </c>
      <c r="P406">
        <v>229</v>
      </c>
      <c r="Q406">
        <v>219</v>
      </c>
      <c r="R406">
        <v>216</v>
      </c>
      <c r="S406">
        <v>1480</v>
      </c>
      <c r="T406">
        <v>840</v>
      </c>
      <c r="U406">
        <v>640</v>
      </c>
      <c r="V406">
        <v>181</v>
      </c>
      <c r="W406">
        <v>324</v>
      </c>
      <c r="X406">
        <v>181</v>
      </c>
      <c r="Y406">
        <v>507</v>
      </c>
      <c r="Z406">
        <v>260</v>
      </c>
      <c r="AA406">
        <v>31</v>
      </c>
      <c r="AB406" t="s">
        <v>103</v>
      </c>
      <c r="AC406" t="s">
        <v>185</v>
      </c>
      <c r="AD406" t="s">
        <v>184</v>
      </c>
    </row>
    <row r="407" spans="1:30">
      <c r="A407" t="s">
        <v>220</v>
      </c>
      <c r="B407" s="16">
        <v>44593</v>
      </c>
      <c r="C407" s="394">
        <v>44594</v>
      </c>
      <c r="D407" t="s">
        <v>100</v>
      </c>
      <c r="E407">
        <v>5756</v>
      </c>
      <c r="F407">
        <v>455</v>
      </c>
      <c r="G407">
        <v>429</v>
      </c>
      <c r="H407">
        <v>157</v>
      </c>
      <c r="I407">
        <v>325</v>
      </c>
      <c r="J407">
        <v>28</v>
      </c>
      <c r="K407">
        <v>63</v>
      </c>
      <c r="L407">
        <v>27</v>
      </c>
      <c r="M407">
        <v>15</v>
      </c>
      <c r="N407">
        <v>21</v>
      </c>
      <c r="O407">
        <v>270</v>
      </c>
      <c r="P407">
        <v>126</v>
      </c>
      <c r="Q407">
        <v>108</v>
      </c>
      <c r="R407">
        <v>107</v>
      </c>
      <c r="S407">
        <v>807</v>
      </c>
      <c r="T407">
        <v>295</v>
      </c>
      <c r="U407">
        <v>512</v>
      </c>
      <c r="V407">
        <v>97</v>
      </c>
      <c r="W407">
        <v>199</v>
      </c>
      <c r="X407">
        <v>114</v>
      </c>
      <c r="Y407">
        <v>289</v>
      </c>
      <c r="Z407">
        <v>147</v>
      </c>
      <c r="AA407">
        <v>46</v>
      </c>
      <c r="AB407" t="s">
        <v>103</v>
      </c>
      <c r="AC407" t="s">
        <v>185</v>
      </c>
      <c r="AD407" t="s">
        <v>182</v>
      </c>
    </row>
    <row r="408" spans="1:30">
      <c r="A408" t="s">
        <v>220</v>
      </c>
      <c r="B408" s="16">
        <v>44593</v>
      </c>
      <c r="C408" s="394">
        <v>44594</v>
      </c>
      <c r="D408" t="s">
        <v>71</v>
      </c>
      <c r="E408">
        <v>5718</v>
      </c>
      <c r="F408">
        <v>345</v>
      </c>
      <c r="G408">
        <v>319</v>
      </c>
      <c r="H408">
        <v>143</v>
      </c>
      <c r="I408">
        <v>148</v>
      </c>
      <c r="J408">
        <v>8</v>
      </c>
      <c r="K408">
        <v>73</v>
      </c>
      <c r="L408">
        <v>39</v>
      </c>
      <c r="M408">
        <v>3</v>
      </c>
      <c r="N408">
        <v>31</v>
      </c>
      <c r="O408">
        <v>325</v>
      </c>
      <c r="P408">
        <v>196</v>
      </c>
      <c r="Q408">
        <v>194</v>
      </c>
      <c r="R408">
        <v>194</v>
      </c>
      <c r="S408">
        <v>1082</v>
      </c>
      <c r="T408">
        <v>424</v>
      </c>
      <c r="U408">
        <v>658</v>
      </c>
      <c r="V408">
        <v>52</v>
      </c>
      <c r="W408">
        <v>285</v>
      </c>
      <c r="X408">
        <v>128</v>
      </c>
      <c r="Y408">
        <v>475</v>
      </c>
      <c r="Z408">
        <v>280</v>
      </c>
      <c r="AA408">
        <v>13</v>
      </c>
      <c r="AB408" t="s">
        <v>74</v>
      </c>
      <c r="AC408" t="s">
        <v>154</v>
      </c>
      <c r="AD408" t="s">
        <v>152</v>
      </c>
    </row>
    <row r="409" spans="1:30">
      <c r="A409" t="s">
        <v>220</v>
      </c>
      <c r="B409" s="16">
        <v>44593</v>
      </c>
      <c r="C409" s="394">
        <v>44594</v>
      </c>
      <c r="D409" t="s">
        <v>95</v>
      </c>
      <c r="E409">
        <v>4575</v>
      </c>
      <c r="F409">
        <v>312</v>
      </c>
      <c r="G409">
        <v>299</v>
      </c>
      <c r="H409">
        <v>190</v>
      </c>
      <c r="I409">
        <v>124</v>
      </c>
      <c r="J409">
        <v>10</v>
      </c>
      <c r="K409">
        <v>30</v>
      </c>
      <c r="L409">
        <v>18</v>
      </c>
      <c r="M409">
        <v>5</v>
      </c>
      <c r="N409">
        <v>14</v>
      </c>
      <c r="O409">
        <v>205</v>
      </c>
      <c r="P409">
        <v>110</v>
      </c>
      <c r="Q409">
        <v>108</v>
      </c>
      <c r="R409">
        <v>108</v>
      </c>
      <c r="S409">
        <v>505</v>
      </c>
      <c r="T409">
        <v>216</v>
      </c>
      <c r="U409">
        <v>289</v>
      </c>
      <c r="V409">
        <v>47</v>
      </c>
      <c r="W409">
        <v>132</v>
      </c>
      <c r="X409">
        <v>75</v>
      </c>
      <c r="Y409">
        <v>181</v>
      </c>
      <c r="Z409">
        <v>88</v>
      </c>
      <c r="AA409">
        <v>8</v>
      </c>
      <c r="AB409" t="s">
        <v>97</v>
      </c>
      <c r="AC409" t="s">
        <v>179</v>
      </c>
      <c r="AD409" t="s">
        <v>177</v>
      </c>
    </row>
    <row r="410" spans="1:30">
      <c r="A410" t="s">
        <v>220</v>
      </c>
      <c r="B410" s="16">
        <v>44593</v>
      </c>
      <c r="C410" s="394">
        <v>44594</v>
      </c>
      <c r="D410" t="s">
        <v>83</v>
      </c>
      <c r="E410">
        <v>4149</v>
      </c>
      <c r="F410">
        <v>373</v>
      </c>
      <c r="G410">
        <v>355</v>
      </c>
      <c r="H410">
        <v>174</v>
      </c>
      <c r="I410">
        <v>128</v>
      </c>
      <c r="J410">
        <v>20</v>
      </c>
      <c r="K410">
        <v>35</v>
      </c>
      <c r="L410">
        <v>19</v>
      </c>
      <c r="M410">
        <v>0</v>
      </c>
      <c r="N410">
        <v>17</v>
      </c>
      <c r="O410">
        <v>218</v>
      </c>
      <c r="P410">
        <v>190</v>
      </c>
      <c r="Q410">
        <v>182</v>
      </c>
      <c r="R410">
        <v>184</v>
      </c>
      <c r="S410">
        <v>673</v>
      </c>
      <c r="T410">
        <v>309</v>
      </c>
      <c r="U410">
        <v>364</v>
      </c>
      <c r="V410">
        <v>61</v>
      </c>
      <c r="W410">
        <v>131</v>
      </c>
      <c r="X410">
        <v>67</v>
      </c>
      <c r="Y410">
        <v>214</v>
      </c>
      <c r="Z410">
        <v>124</v>
      </c>
      <c r="AA410">
        <v>15</v>
      </c>
      <c r="AB410" t="s">
        <v>84</v>
      </c>
      <c r="AC410" t="s">
        <v>166</v>
      </c>
      <c r="AD410" t="s">
        <v>164</v>
      </c>
    </row>
    <row r="411" spans="1:30">
      <c r="A411" t="s">
        <v>220</v>
      </c>
      <c r="B411" s="16">
        <v>44593</v>
      </c>
      <c r="C411" s="394">
        <v>44594</v>
      </c>
      <c r="D411" t="s">
        <v>92</v>
      </c>
      <c r="E411">
        <v>11785</v>
      </c>
      <c r="F411">
        <v>679</v>
      </c>
      <c r="G411">
        <v>639</v>
      </c>
      <c r="H411">
        <v>481</v>
      </c>
      <c r="I411">
        <v>242</v>
      </c>
      <c r="J411">
        <v>25</v>
      </c>
      <c r="K411">
        <v>88</v>
      </c>
      <c r="L411">
        <v>63</v>
      </c>
      <c r="M411">
        <v>44</v>
      </c>
      <c r="N411">
        <v>49</v>
      </c>
      <c r="O411">
        <v>691</v>
      </c>
      <c r="P411">
        <v>464</v>
      </c>
      <c r="Q411">
        <v>453</v>
      </c>
      <c r="R411">
        <v>462</v>
      </c>
      <c r="S411">
        <v>1295</v>
      </c>
      <c r="T411">
        <v>683</v>
      </c>
      <c r="U411">
        <v>612</v>
      </c>
      <c r="V411">
        <v>192</v>
      </c>
      <c r="W411">
        <v>314</v>
      </c>
      <c r="X411">
        <v>154</v>
      </c>
      <c r="Y411">
        <v>447</v>
      </c>
      <c r="Z411">
        <v>205</v>
      </c>
      <c r="AA411">
        <v>9</v>
      </c>
      <c r="AB411" t="s">
        <v>97</v>
      </c>
      <c r="AC411" t="s">
        <v>179</v>
      </c>
      <c r="AD411" t="s">
        <v>174</v>
      </c>
    </row>
    <row r="412" spans="1:30">
      <c r="A412" t="s">
        <v>220</v>
      </c>
      <c r="B412" s="16">
        <v>44593</v>
      </c>
      <c r="C412" s="394">
        <v>44594</v>
      </c>
      <c r="D412" t="s">
        <v>72</v>
      </c>
      <c r="E412">
        <v>6020</v>
      </c>
      <c r="F412">
        <v>372</v>
      </c>
      <c r="G412">
        <v>344</v>
      </c>
      <c r="H412">
        <v>316</v>
      </c>
      <c r="I412">
        <v>123</v>
      </c>
      <c r="J412">
        <v>34</v>
      </c>
      <c r="K412">
        <v>67</v>
      </c>
      <c r="L412">
        <v>45</v>
      </c>
      <c r="M412">
        <v>24</v>
      </c>
      <c r="N412">
        <v>11</v>
      </c>
      <c r="O412">
        <v>403</v>
      </c>
      <c r="P412">
        <v>295</v>
      </c>
      <c r="Q412">
        <v>288</v>
      </c>
      <c r="R412">
        <v>286</v>
      </c>
      <c r="S412">
        <v>841</v>
      </c>
      <c r="T412">
        <v>629</v>
      </c>
      <c r="U412">
        <v>212</v>
      </c>
      <c r="V412">
        <v>104</v>
      </c>
      <c r="W412">
        <v>242</v>
      </c>
      <c r="X412">
        <v>112</v>
      </c>
      <c r="Y412">
        <v>391</v>
      </c>
      <c r="Z412">
        <v>202</v>
      </c>
      <c r="AA412">
        <v>15</v>
      </c>
      <c r="AB412" t="s">
        <v>74</v>
      </c>
      <c r="AC412" t="s">
        <v>154</v>
      </c>
      <c r="AD412" t="s">
        <v>153</v>
      </c>
    </row>
    <row r="413" spans="1:30">
      <c r="A413" t="s">
        <v>220</v>
      </c>
      <c r="B413" s="16">
        <v>44593</v>
      </c>
      <c r="C413" s="394">
        <v>44594</v>
      </c>
      <c r="D413" t="s">
        <v>85</v>
      </c>
      <c r="E413">
        <v>5296</v>
      </c>
      <c r="F413">
        <v>319</v>
      </c>
      <c r="G413">
        <v>301</v>
      </c>
      <c r="H413">
        <v>160</v>
      </c>
      <c r="I413">
        <v>242</v>
      </c>
      <c r="J413">
        <v>42</v>
      </c>
      <c r="K413">
        <v>29</v>
      </c>
      <c r="L413">
        <v>19</v>
      </c>
      <c r="M413">
        <v>18</v>
      </c>
      <c r="N413">
        <v>18</v>
      </c>
      <c r="O413">
        <v>261</v>
      </c>
      <c r="P413">
        <v>147</v>
      </c>
      <c r="Q413">
        <v>146</v>
      </c>
      <c r="R413">
        <v>144</v>
      </c>
      <c r="S413">
        <v>594</v>
      </c>
      <c r="T413">
        <v>272</v>
      </c>
      <c r="U413">
        <v>322</v>
      </c>
      <c r="V413">
        <v>48</v>
      </c>
      <c r="W413">
        <v>157</v>
      </c>
      <c r="X413">
        <v>69</v>
      </c>
      <c r="Y413">
        <v>286</v>
      </c>
      <c r="Z413">
        <v>126</v>
      </c>
      <c r="AA413">
        <v>10</v>
      </c>
      <c r="AB413" t="s">
        <v>91</v>
      </c>
      <c r="AC413" t="s">
        <v>173</v>
      </c>
      <c r="AD413" t="s">
        <v>167</v>
      </c>
    </row>
    <row r="414" spans="1:30">
      <c r="A414" t="s">
        <v>220</v>
      </c>
      <c r="B414" s="16">
        <v>44593</v>
      </c>
      <c r="C414" s="394">
        <v>44594</v>
      </c>
      <c r="D414" t="s">
        <v>88</v>
      </c>
      <c r="E414">
        <v>4685</v>
      </c>
      <c r="F414">
        <v>432</v>
      </c>
      <c r="G414">
        <v>410</v>
      </c>
      <c r="H414">
        <v>266</v>
      </c>
      <c r="I414">
        <v>269</v>
      </c>
      <c r="J414">
        <v>38</v>
      </c>
      <c r="K414">
        <v>53</v>
      </c>
      <c r="L414">
        <v>45</v>
      </c>
      <c r="M414">
        <v>27</v>
      </c>
      <c r="N414">
        <v>38</v>
      </c>
      <c r="O414">
        <v>236</v>
      </c>
      <c r="P414">
        <v>147</v>
      </c>
      <c r="Q414">
        <v>141</v>
      </c>
      <c r="R414">
        <v>143</v>
      </c>
      <c r="S414">
        <v>686</v>
      </c>
      <c r="T414">
        <v>291</v>
      </c>
      <c r="U414">
        <v>395</v>
      </c>
      <c r="V414">
        <v>130</v>
      </c>
      <c r="W414">
        <v>205</v>
      </c>
      <c r="X414">
        <v>92</v>
      </c>
      <c r="Y414">
        <v>285</v>
      </c>
      <c r="Z414">
        <v>142</v>
      </c>
      <c r="AA414">
        <v>5</v>
      </c>
      <c r="AB414" t="s">
        <v>91</v>
      </c>
      <c r="AC414" t="s">
        <v>173</v>
      </c>
      <c r="AD414" t="s">
        <v>170</v>
      </c>
    </row>
    <row r="415" spans="1:30">
      <c r="A415" t="s">
        <v>220</v>
      </c>
      <c r="B415" s="16">
        <v>44593</v>
      </c>
      <c r="C415" s="394">
        <v>44594</v>
      </c>
      <c r="D415" t="s">
        <v>64</v>
      </c>
      <c r="E415">
        <v>5437</v>
      </c>
      <c r="F415">
        <v>302</v>
      </c>
      <c r="G415">
        <v>288</v>
      </c>
      <c r="H415">
        <v>123</v>
      </c>
      <c r="I415">
        <v>217</v>
      </c>
      <c r="J415">
        <v>14</v>
      </c>
      <c r="K415">
        <v>26</v>
      </c>
      <c r="L415">
        <v>10</v>
      </c>
      <c r="M415">
        <v>3</v>
      </c>
      <c r="N415">
        <v>6</v>
      </c>
      <c r="O415">
        <v>194</v>
      </c>
      <c r="P415">
        <v>122</v>
      </c>
      <c r="Q415">
        <v>104</v>
      </c>
      <c r="R415">
        <v>97</v>
      </c>
      <c r="S415">
        <v>542</v>
      </c>
      <c r="T415">
        <v>253</v>
      </c>
      <c r="U415">
        <v>289</v>
      </c>
      <c r="V415">
        <v>58</v>
      </c>
      <c r="W415">
        <v>113</v>
      </c>
      <c r="X415">
        <v>52</v>
      </c>
      <c r="Y415">
        <v>171</v>
      </c>
      <c r="Z415">
        <v>91</v>
      </c>
      <c r="AA415">
        <v>1</v>
      </c>
      <c r="AB415" t="s">
        <v>67</v>
      </c>
      <c r="AC415" t="s">
        <v>148</v>
      </c>
      <c r="AD415" t="s">
        <v>144</v>
      </c>
    </row>
    <row r="416" spans="1:30">
      <c r="A416" t="s">
        <v>220</v>
      </c>
      <c r="B416" s="16">
        <v>44593</v>
      </c>
      <c r="C416" s="394">
        <v>44594</v>
      </c>
      <c r="D416" t="s">
        <v>70</v>
      </c>
      <c r="E416">
        <v>10586</v>
      </c>
      <c r="F416">
        <v>811</v>
      </c>
      <c r="G416">
        <v>763</v>
      </c>
      <c r="H416">
        <v>449</v>
      </c>
      <c r="I416">
        <v>227</v>
      </c>
      <c r="J416">
        <v>18</v>
      </c>
      <c r="K416">
        <v>224</v>
      </c>
      <c r="L416">
        <v>178</v>
      </c>
      <c r="M416">
        <v>73</v>
      </c>
      <c r="N416">
        <v>145</v>
      </c>
      <c r="O416">
        <v>717</v>
      </c>
      <c r="P416">
        <v>478</v>
      </c>
      <c r="Q416">
        <v>459</v>
      </c>
      <c r="R416">
        <v>467</v>
      </c>
      <c r="S416">
        <v>1832</v>
      </c>
      <c r="T416">
        <v>994</v>
      </c>
      <c r="U416">
        <v>838</v>
      </c>
      <c r="V416">
        <v>318</v>
      </c>
      <c r="W416">
        <v>572</v>
      </c>
      <c r="X416">
        <v>252</v>
      </c>
      <c r="Y416">
        <v>822</v>
      </c>
      <c r="Z416">
        <v>375</v>
      </c>
      <c r="AA416">
        <v>91</v>
      </c>
      <c r="AB416" t="s">
        <v>74</v>
      </c>
      <c r="AC416" t="s">
        <v>154</v>
      </c>
      <c r="AD416" t="s">
        <v>151</v>
      </c>
    </row>
    <row r="417" spans="1:30">
      <c r="A417" t="s">
        <v>220</v>
      </c>
      <c r="B417" s="16">
        <v>44593</v>
      </c>
      <c r="C417" s="394">
        <v>44594</v>
      </c>
      <c r="D417" t="s">
        <v>96</v>
      </c>
      <c r="E417">
        <v>7184</v>
      </c>
      <c r="F417">
        <v>522</v>
      </c>
      <c r="G417">
        <v>499</v>
      </c>
      <c r="H417">
        <v>241</v>
      </c>
      <c r="I417">
        <v>367</v>
      </c>
      <c r="J417">
        <v>26</v>
      </c>
      <c r="K417">
        <v>92</v>
      </c>
      <c r="L417">
        <v>57</v>
      </c>
      <c r="M417">
        <v>47</v>
      </c>
      <c r="N417">
        <v>54</v>
      </c>
      <c r="O417">
        <v>361</v>
      </c>
      <c r="P417">
        <v>144</v>
      </c>
      <c r="Q417">
        <v>131</v>
      </c>
      <c r="R417">
        <v>128</v>
      </c>
      <c r="S417">
        <v>1110</v>
      </c>
      <c r="T417">
        <v>438</v>
      </c>
      <c r="U417">
        <v>672</v>
      </c>
      <c r="V417">
        <v>140</v>
      </c>
      <c r="W417">
        <v>256</v>
      </c>
      <c r="X417">
        <v>124</v>
      </c>
      <c r="Y417">
        <v>406</v>
      </c>
      <c r="Z417">
        <v>184</v>
      </c>
      <c r="AA417">
        <v>14</v>
      </c>
      <c r="AB417" t="s">
        <v>97</v>
      </c>
      <c r="AC417" t="s">
        <v>179</v>
      </c>
      <c r="AD417" t="s">
        <v>178</v>
      </c>
    </row>
    <row r="418" spans="1:30">
      <c r="A418" t="s">
        <v>220</v>
      </c>
      <c r="B418" s="16">
        <v>44593</v>
      </c>
      <c r="C418" s="394">
        <v>44594</v>
      </c>
      <c r="D418" t="s">
        <v>82</v>
      </c>
      <c r="E418">
        <v>6381</v>
      </c>
      <c r="F418">
        <v>511</v>
      </c>
      <c r="G418">
        <v>486</v>
      </c>
      <c r="H418">
        <v>314</v>
      </c>
      <c r="I418">
        <v>358</v>
      </c>
      <c r="J418">
        <v>43</v>
      </c>
      <c r="K418">
        <v>56</v>
      </c>
      <c r="L418">
        <v>38</v>
      </c>
      <c r="M418">
        <v>30</v>
      </c>
      <c r="N418">
        <v>33</v>
      </c>
      <c r="O418">
        <v>331</v>
      </c>
      <c r="P418">
        <v>246</v>
      </c>
      <c r="Q418">
        <v>246</v>
      </c>
      <c r="R418">
        <v>246</v>
      </c>
      <c r="S418">
        <v>690</v>
      </c>
      <c r="T418">
        <v>313</v>
      </c>
      <c r="U418">
        <v>377</v>
      </c>
      <c r="V418">
        <v>109</v>
      </c>
      <c r="W418">
        <v>194</v>
      </c>
      <c r="X418">
        <v>93</v>
      </c>
      <c r="Y418">
        <v>318</v>
      </c>
      <c r="Z418">
        <v>136</v>
      </c>
      <c r="AA418">
        <v>3</v>
      </c>
      <c r="AB418" t="s">
        <v>84</v>
      </c>
      <c r="AC418" t="s">
        <v>166</v>
      </c>
      <c r="AD418" t="s">
        <v>163</v>
      </c>
    </row>
    <row r="419" spans="1:30">
      <c r="A419" t="s">
        <v>220</v>
      </c>
      <c r="B419" s="16">
        <v>44593</v>
      </c>
      <c r="C419" s="394">
        <v>44594</v>
      </c>
      <c r="D419" t="s">
        <v>54</v>
      </c>
      <c r="E419">
        <v>6541</v>
      </c>
      <c r="F419">
        <v>416</v>
      </c>
      <c r="G419">
        <v>378</v>
      </c>
      <c r="H419">
        <v>223</v>
      </c>
      <c r="I419">
        <v>282</v>
      </c>
      <c r="J419">
        <v>30</v>
      </c>
      <c r="K419">
        <v>97</v>
      </c>
      <c r="L419">
        <v>81</v>
      </c>
      <c r="M419">
        <v>53</v>
      </c>
      <c r="N419">
        <v>73</v>
      </c>
      <c r="O419">
        <v>327</v>
      </c>
      <c r="P419">
        <v>228</v>
      </c>
      <c r="Q419">
        <v>221</v>
      </c>
      <c r="R419">
        <v>216</v>
      </c>
      <c r="S419">
        <v>869</v>
      </c>
      <c r="T419">
        <v>474</v>
      </c>
      <c r="U419">
        <v>395</v>
      </c>
      <c r="V419">
        <v>12</v>
      </c>
      <c r="W419">
        <v>265</v>
      </c>
      <c r="X419">
        <v>90</v>
      </c>
      <c r="Y419">
        <v>382</v>
      </c>
      <c r="Z419">
        <v>195</v>
      </c>
      <c r="AA419">
        <v>29</v>
      </c>
      <c r="AB419" t="s">
        <v>67</v>
      </c>
      <c r="AC419" t="s">
        <v>148</v>
      </c>
      <c r="AD419" t="s">
        <v>142</v>
      </c>
    </row>
    <row r="420" spans="1:30">
      <c r="A420" t="s">
        <v>220</v>
      </c>
      <c r="B420" s="16">
        <v>44593</v>
      </c>
      <c r="C420" s="394">
        <v>44594</v>
      </c>
      <c r="D420" t="s">
        <v>89</v>
      </c>
      <c r="E420">
        <v>11840</v>
      </c>
      <c r="F420">
        <v>875</v>
      </c>
      <c r="G420">
        <v>832</v>
      </c>
      <c r="H420">
        <v>548</v>
      </c>
      <c r="I420">
        <v>326</v>
      </c>
      <c r="J420">
        <v>36</v>
      </c>
      <c r="K420">
        <v>119</v>
      </c>
      <c r="L420">
        <v>106</v>
      </c>
      <c r="M420">
        <v>89</v>
      </c>
      <c r="N420">
        <v>100</v>
      </c>
      <c r="O420">
        <v>567</v>
      </c>
      <c r="P420">
        <v>424</v>
      </c>
      <c r="Q420">
        <v>412</v>
      </c>
      <c r="R420">
        <v>418</v>
      </c>
      <c r="S420">
        <v>1809</v>
      </c>
      <c r="T420">
        <v>943</v>
      </c>
      <c r="U420">
        <v>866</v>
      </c>
      <c r="V420">
        <v>347</v>
      </c>
      <c r="W420">
        <v>311</v>
      </c>
      <c r="X420">
        <v>165</v>
      </c>
      <c r="Y420">
        <v>423</v>
      </c>
      <c r="Z420">
        <v>224</v>
      </c>
      <c r="AA420">
        <v>49</v>
      </c>
      <c r="AB420" t="s">
        <v>91</v>
      </c>
      <c r="AC420" t="s">
        <v>173</v>
      </c>
      <c r="AD420" t="s">
        <v>171</v>
      </c>
    </row>
    <row r="421" spans="1:30">
      <c r="A421" t="s">
        <v>220</v>
      </c>
      <c r="B421" s="16">
        <v>44593</v>
      </c>
      <c r="C421" s="394">
        <v>44594</v>
      </c>
      <c r="D421" t="s">
        <v>101</v>
      </c>
      <c r="E421">
        <v>4669</v>
      </c>
      <c r="F421">
        <v>241</v>
      </c>
      <c r="G421">
        <v>224</v>
      </c>
      <c r="H421">
        <v>215</v>
      </c>
      <c r="I421">
        <v>155</v>
      </c>
      <c r="J421">
        <v>46</v>
      </c>
      <c r="K421">
        <v>30</v>
      </c>
      <c r="L421">
        <v>28</v>
      </c>
      <c r="M421">
        <v>28</v>
      </c>
      <c r="N421">
        <v>25</v>
      </c>
      <c r="O421">
        <v>205</v>
      </c>
      <c r="P421">
        <v>159</v>
      </c>
      <c r="Q421">
        <v>155</v>
      </c>
      <c r="R421">
        <v>153</v>
      </c>
      <c r="S421">
        <v>464</v>
      </c>
      <c r="T421">
        <v>274</v>
      </c>
      <c r="U421">
        <v>190</v>
      </c>
      <c r="V421">
        <v>38</v>
      </c>
      <c r="W421">
        <v>85</v>
      </c>
      <c r="X421">
        <v>49</v>
      </c>
      <c r="Y421">
        <v>137</v>
      </c>
      <c r="Z421">
        <v>75</v>
      </c>
      <c r="AA421">
        <v>15</v>
      </c>
      <c r="AB421" t="s">
        <v>103</v>
      </c>
      <c r="AC421" t="s">
        <v>185</v>
      </c>
      <c r="AD421" t="s">
        <v>183</v>
      </c>
    </row>
    <row r="422" spans="1:30">
      <c r="A422" t="s">
        <v>220</v>
      </c>
      <c r="B422" s="16">
        <v>44593</v>
      </c>
      <c r="C422" s="394">
        <v>44594</v>
      </c>
      <c r="D422" t="s">
        <v>66</v>
      </c>
      <c r="E422">
        <v>3239</v>
      </c>
      <c r="F422">
        <v>127</v>
      </c>
      <c r="G422">
        <v>114</v>
      </c>
      <c r="H422">
        <v>94</v>
      </c>
      <c r="I422">
        <v>72</v>
      </c>
      <c r="J422">
        <v>12</v>
      </c>
      <c r="K422">
        <v>44</v>
      </c>
      <c r="L422">
        <v>33</v>
      </c>
      <c r="M422">
        <v>4</v>
      </c>
      <c r="N422">
        <v>16</v>
      </c>
      <c r="O422">
        <v>189</v>
      </c>
      <c r="P422">
        <v>123</v>
      </c>
      <c r="Q422">
        <v>114</v>
      </c>
      <c r="R422">
        <v>111</v>
      </c>
      <c r="S422">
        <v>296</v>
      </c>
      <c r="T422">
        <v>197</v>
      </c>
      <c r="U422">
        <v>99</v>
      </c>
      <c r="V422">
        <v>41</v>
      </c>
      <c r="W422">
        <v>78</v>
      </c>
      <c r="X422">
        <v>43</v>
      </c>
      <c r="Y422">
        <v>110</v>
      </c>
      <c r="Z422">
        <v>54</v>
      </c>
      <c r="AA422">
        <v>12</v>
      </c>
      <c r="AB422" t="s">
        <v>67</v>
      </c>
      <c r="AC422" t="s">
        <v>148</v>
      </c>
      <c r="AD422" t="s">
        <v>146</v>
      </c>
    </row>
    <row r="423" spans="1:30">
      <c r="A423" t="s">
        <v>220</v>
      </c>
      <c r="B423" s="16">
        <v>44593</v>
      </c>
      <c r="C423" s="394">
        <v>44594</v>
      </c>
      <c r="D423" t="s">
        <v>80</v>
      </c>
      <c r="E423">
        <v>5538</v>
      </c>
      <c r="F423">
        <v>359</v>
      </c>
      <c r="G423">
        <v>343</v>
      </c>
      <c r="H423">
        <v>280</v>
      </c>
      <c r="I423">
        <v>90</v>
      </c>
      <c r="J423">
        <v>11</v>
      </c>
      <c r="K423">
        <v>25</v>
      </c>
      <c r="L423">
        <v>20</v>
      </c>
      <c r="M423">
        <v>15</v>
      </c>
      <c r="N423">
        <v>20</v>
      </c>
      <c r="O423">
        <v>235</v>
      </c>
      <c r="P423">
        <v>195</v>
      </c>
      <c r="Q423">
        <v>193</v>
      </c>
      <c r="R423">
        <v>192</v>
      </c>
      <c r="S423">
        <v>582</v>
      </c>
      <c r="T423">
        <v>353</v>
      </c>
      <c r="U423">
        <v>229</v>
      </c>
      <c r="V423">
        <v>109</v>
      </c>
      <c r="W423">
        <v>147</v>
      </c>
      <c r="X423">
        <v>91</v>
      </c>
      <c r="Y423">
        <v>209</v>
      </c>
      <c r="Z423">
        <v>104</v>
      </c>
      <c r="AA423">
        <v>9</v>
      </c>
      <c r="AB423" t="s">
        <v>84</v>
      </c>
      <c r="AC423" t="s">
        <v>166</v>
      </c>
      <c r="AD423" t="s">
        <v>161</v>
      </c>
    </row>
    <row r="424" spans="1:30">
      <c r="A424" t="s">
        <v>220</v>
      </c>
      <c r="B424" s="16">
        <v>44593</v>
      </c>
      <c r="C424" s="394">
        <v>44594</v>
      </c>
      <c r="D424" t="s">
        <v>52</v>
      </c>
      <c r="E424">
        <v>3052</v>
      </c>
      <c r="F424">
        <v>221</v>
      </c>
      <c r="G424">
        <v>206</v>
      </c>
      <c r="H424">
        <v>170</v>
      </c>
      <c r="I424">
        <v>46</v>
      </c>
      <c r="J424">
        <v>7</v>
      </c>
      <c r="K424">
        <v>107</v>
      </c>
      <c r="L424">
        <v>94</v>
      </c>
      <c r="M424">
        <v>63</v>
      </c>
      <c r="N424">
        <v>27</v>
      </c>
      <c r="O424">
        <v>227</v>
      </c>
      <c r="P424">
        <v>175</v>
      </c>
      <c r="Q424">
        <v>173</v>
      </c>
      <c r="R424">
        <v>172</v>
      </c>
      <c r="S424">
        <v>749</v>
      </c>
      <c r="T424">
        <v>549</v>
      </c>
      <c r="U424">
        <v>200</v>
      </c>
      <c r="V424">
        <v>44</v>
      </c>
      <c r="W424">
        <v>208</v>
      </c>
      <c r="X424">
        <v>69</v>
      </c>
      <c r="Y424">
        <v>264</v>
      </c>
      <c r="Z424">
        <v>157</v>
      </c>
      <c r="AA424">
        <v>31</v>
      </c>
      <c r="AB424" t="s">
        <v>67</v>
      </c>
      <c r="AC424" t="s">
        <v>148</v>
      </c>
      <c r="AD424" t="s">
        <v>141</v>
      </c>
    </row>
    <row r="425" spans="1:30">
      <c r="A425" t="s">
        <v>220</v>
      </c>
      <c r="B425" s="16">
        <v>44593</v>
      </c>
      <c r="C425" s="394">
        <v>44594</v>
      </c>
      <c r="D425" t="s">
        <v>87</v>
      </c>
      <c r="E425">
        <v>3047</v>
      </c>
      <c r="F425">
        <v>267</v>
      </c>
      <c r="G425">
        <v>253</v>
      </c>
      <c r="H425">
        <v>160</v>
      </c>
      <c r="I425">
        <v>189</v>
      </c>
      <c r="J425">
        <v>13</v>
      </c>
      <c r="K425">
        <v>24</v>
      </c>
      <c r="L425">
        <v>19</v>
      </c>
      <c r="M425">
        <v>17</v>
      </c>
      <c r="N425">
        <v>19</v>
      </c>
      <c r="O425">
        <v>134</v>
      </c>
      <c r="P425">
        <v>127</v>
      </c>
      <c r="Q425">
        <v>99</v>
      </c>
      <c r="R425">
        <v>101</v>
      </c>
      <c r="S425">
        <v>463</v>
      </c>
      <c r="T425">
        <v>253</v>
      </c>
      <c r="U425">
        <v>210</v>
      </c>
      <c r="V425">
        <v>96</v>
      </c>
      <c r="W425">
        <v>91</v>
      </c>
      <c r="X425">
        <v>48</v>
      </c>
      <c r="Y425">
        <v>132</v>
      </c>
      <c r="Z425">
        <v>78</v>
      </c>
      <c r="AA425">
        <v>2</v>
      </c>
      <c r="AB425" t="s">
        <v>91</v>
      </c>
      <c r="AC425" t="s">
        <v>173</v>
      </c>
      <c r="AD425" t="s">
        <v>169</v>
      </c>
    </row>
    <row r="426" spans="1:30">
      <c r="A426" t="s">
        <v>220</v>
      </c>
      <c r="B426" s="16">
        <v>44593</v>
      </c>
      <c r="C426" s="394">
        <v>44594</v>
      </c>
      <c r="D426" t="s">
        <v>90</v>
      </c>
      <c r="E426">
        <v>2922</v>
      </c>
      <c r="F426">
        <v>217</v>
      </c>
      <c r="G426">
        <v>207</v>
      </c>
      <c r="H426">
        <v>174</v>
      </c>
      <c r="I426">
        <v>135</v>
      </c>
      <c r="J426">
        <v>11</v>
      </c>
      <c r="K426">
        <v>27</v>
      </c>
      <c r="L426">
        <v>22</v>
      </c>
      <c r="M426">
        <v>19</v>
      </c>
      <c r="N426">
        <v>12</v>
      </c>
      <c r="O426">
        <v>101</v>
      </c>
      <c r="P426">
        <v>90</v>
      </c>
      <c r="Q426">
        <v>89</v>
      </c>
      <c r="R426">
        <v>88</v>
      </c>
      <c r="S426">
        <v>339</v>
      </c>
      <c r="T426">
        <v>189</v>
      </c>
      <c r="U426">
        <v>150</v>
      </c>
      <c r="V426">
        <v>36</v>
      </c>
      <c r="W426">
        <v>83</v>
      </c>
      <c r="X426">
        <v>40</v>
      </c>
      <c r="Y426">
        <v>123</v>
      </c>
      <c r="Z426">
        <v>54</v>
      </c>
      <c r="AA426">
        <v>3</v>
      </c>
      <c r="AB426" t="s">
        <v>91</v>
      </c>
      <c r="AC426" t="s">
        <v>173</v>
      </c>
      <c r="AD426" t="s">
        <v>172</v>
      </c>
    </row>
    <row r="427" spans="1:30">
      <c r="A427" t="s">
        <v>220</v>
      </c>
      <c r="B427" s="16">
        <v>44593</v>
      </c>
      <c r="C427" s="394">
        <v>44594</v>
      </c>
      <c r="D427" t="s">
        <v>93</v>
      </c>
      <c r="E427">
        <v>2161</v>
      </c>
      <c r="F427">
        <v>206</v>
      </c>
      <c r="G427">
        <v>195</v>
      </c>
      <c r="H427">
        <v>143</v>
      </c>
      <c r="I427">
        <v>48</v>
      </c>
      <c r="J427">
        <v>4</v>
      </c>
      <c r="K427">
        <v>16</v>
      </c>
      <c r="L427">
        <v>11</v>
      </c>
      <c r="M427">
        <v>10</v>
      </c>
      <c r="N427">
        <v>11</v>
      </c>
      <c r="O427">
        <v>154</v>
      </c>
      <c r="P427">
        <v>132</v>
      </c>
      <c r="Q427">
        <v>130</v>
      </c>
      <c r="R427">
        <v>130</v>
      </c>
      <c r="S427">
        <v>370</v>
      </c>
      <c r="T427">
        <v>165</v>
      </c>
      <c r="U427">
        <v>205</v>
      </c>
      <c r="V427">
        <v>64</v>
      </c>
      <c r="W427">
        <v>85</v>
      </c>
      <c r="X427">
        <v>39</v>
      </c>
      <c r="Y427">
        <v>134</v>
      </c>
      <c r="Z427">
        <v>59</v>
      </c>
      <c r="AA427">
        <v>17</v>
      </c>
      <c r="AB427" t="s">
        <v>97</v>
      </c>
      <c r="AC427" t="s">
        <v>179</v>
      </c>
      <c r="AD427" t="s">
        <v>175</v>
      </c>
    </row>
    <row r="428" spans="1:30">
      <c r="A428" t="s">
        <v>220</v>
      </c>
      <c r="B428" s="16">
        <v>44593</v>
      </c>
      <c r="C428" s="394">
        <v>44594</v>
      </c>
      <c r="D428" t="s">
        <v>81</v>
      </c>
      <c r="E428">
        <v>2790</v>
      </c>
      <c r="F428">
        <v>212</v>
      </c>
      <c r="G428">
        <v>198</v>
      </c>
      <c r="H428">
        <v>90</v>
      </c>
      <c r="I428">
        <v>160</v>
      </c>
      <c r="J428">
        <v>26</v>
      </c>
      <c r="K428">
        <v>12</v>
      </c>
      <c r="L428">
        <v>9</v>
      </c>
      <c r="M428">
        <v>4</v>
      </c>
      <c r="N428">
        <v>9</v>
      </c>
      <c r="O428">
        <v>96</v>
      </c>
      <c r="P428">
        <v>71</v>
      </c>
      <c r="Q428">
        <v>70</v>
      </c>
      <c r="R428">
        <v>70</v>
      </c>
      <c r="S428">
        <v>339</v>
      </c>
      <c r="T428">
        <v>190</v>
      </c>
      <c r="U428">
        <v>149</v>
      </c>
      <c r="V428">
        <v>65</v>
      </c>
      <c r="W428">
        <v>63</v>
      </c>
      <c r="X428">
        <v>30</v>
      </c>
      <c r="Y428">
        <v>132</v>
      </c>
      <c r="Z428">
        <v>53</v>
      </c>
      <c r="AA428">
        <v>4</v>
      </c>
      <c r="AB428" t="s">
        <v>84</v>
      </c>
      <c r="AC428" t="s">
        <v>166</v>
      </c>
      <c r="AD428" t="s">
        <v>162</v>
      </c>
    </row>
    <row r="429" spans="1:30">
      <c r="A429" t="s">
        <v>220</v>
      </c>
      <c r="B429" s="16">
        <v>44593</v>
      </c>
      <c r="C429" s="394">
        <v>44594</v>
      </c>
      <c r="D429" t="s">
        <v>69</v>
      </c>
      <c r="E429">
        <v>7124</v>
      </c>
      <c r="F429">
        <v>499</v>
      </c>
      <c r="G429">
        <v>465</v>
      </c>
      <c r="H429">
        <v>350</v>
      </c>
      <c r="I429">
        <v>136</v>
      </c>
      <c r="J429">
        <v>13</v>
      </c>
      <c r="K429">
        <v>109</v>
      </c>
      <c r="L429">
        <v>91</v>
      </c>
      <c r="M429">
        <v>28</v>
      </c>
      <c r="N429">
        <v>51</v>
      </c>
      <c r="O429">
        <v>457</v>
      </c>
      <c r="P429">
        <v>329</v>
      </c>
      <c r="Q429">
        <v>321</v>
      </c>
      <c r="R429">
        <v>322</v>
      </c>
      <c r="S429">
        <v>1244</v>
      </c>
      <c r="T429">
        <v>803</v>
      </c>
      <c r="U429">
        <v>441</v>
      </c>
      <c r="V429">
        <v>225</v>
      </c>
      <c r="W429">
        <v>326</v>
      </c>
      <c r="X429">
        <v>157</v>
      </c>
      <c r="Y429">
        <v>518</v>
      </c>
      <c r="Z429">
        <v>165</v>
      </c>
      <c r="AA429">
        <v>14</v>
      </c>
      <c r="AB429" t="s">
        <v>74</v>
      </c>
      <c r="AC429" t="s">
        <v>154</v>
      </c>
      <c r="AD429" t="s">
        <v>150</v>
      </c>
    </row>
    <row r="430" spans="1:30">
      <c r="A430" t="s">
        <v>220</v>
      </c>
      <c r="B430" s="16">
        <v>44593</v>
      </c>
      <c r="C430" s="394">
        <v>44594</v>
      </c>
      <c r="D430" t="s">
        <v>65</v>
      </c>
      <c r="E430">
        <v>4853</v>
      </c>
      <c r="F430">
        <v>417</v>
      </c>
      <c r="G430">
        <v>392</v>
      </c>
      <c r="H430">
        <v>163</v>
      </c>
      <c r="I430">
        <v>272</v>
      </c>
      <c r="J430">
        <v>23</v>
      </c>
      <c r="K430">
        <v>76</v>
      </c>
      <c r="L430">
        <v>31</v>
      </c>
      <c r="M430">
        <v>15</v>
      </c>
      <c r="N430">
        <v>18</v>
      </c>
      <c r="O430">
        <v>316</v>
      </c>
      <c r="P430">
        <v>105</v>
      </c>
      <c r="Q430">
        <v>104</v>
      </c>
      <c r="R430">
        <v>100</v>
      </c>
      <c r="S430">
        <v>711</v>
      </c>
      <c r="T430">
        <v>245</v>
      </c>
      <c r="U430">
        <v>466</v>
      </c>
      <c r="V430">
        <v>48</v>
      </c>
      <c r="W430">
        <v>162</v>
      </c>
      <c r="X430">
        <v>85</v>
      </c>
      <c r="Y430">
        <v>263</v>
      </c>
      <c r="Z430">
        <v>99</v>
      </c>
      <c r="AA430">
        <v>10</v>
      </c>
      <c r="AB430" t="s">
        <v>67</v>
      </c>
      <c r="AC430" t="s">
        <v>148</v>
      </c>
      <c r="AD430" t="s">
        <v>145</v>
      </c>
    </row>
    <row r="431" spans="1:30">
      <c r="A431" t="s">
        <v>220</v>
      </c>
      <c r="B431" s="16">
        <v>44621</v>
      </c>
      <c r="C431" s="394">
        <v>44622</v>
      </c>
      <c r="D431" t="s">
        <v>94</v>
      </c>
      <c r="E431">
        <v>6217</v>
      </c>
      <c r="F431">
        <v>545</v>
      </c>
      <c r="G431">
        <v>517</v>
      </c>
      <c r="H431">
        <v>345</v>
      </c>
      <c r="I431">
        <v>372</v>
      </c>
      <c r="J431">
        <v>46</v>
      </c>
      <c r="K431">
        <v>81</v>
      </c>
      <c r="L431">
        <v>54</v>
      </c>
      <c r="M431">
        <v>31</v>
      </c>
      <c r="N431">
        <v>35</v>
      </c>
      <c r="O431">
        <v>341</v>
      </c>
      <c r="P431">
        <v>229</v>
      </c>
      <c r="Q431">
        <v>213</v>
      </c>
      <c r="R431">
        <v>220</v>
      </c>
      <c r="S431">
        <v>892</v>
      </c>
      <c r="T431">
        <v>465</v>
      </c>
      <c r="U431">
        <v>427</v>
      </c>
      <c r="V431">
        <v>107</v>
      </c>
      <c r="W431">
        <v>231</v>
      </c>
      <c r="X431">
        <v>105</v>
      </c>
      <c r="Y431">
        <v>322</v>
      </c>
      <c r="Z431">
        <v>139</v>
      </c>
      <c r="AA431">
        <v>11</v>
      </c>
      <c r="AB431" t="s">
        <v>97</v>
      </c>
      <c r="AC431" t="s">
        <v>179</v>
      </c>
      <c r="AD431" t="s">
        <v>176</v>
      </c>
    </row>
    <row r="432" spans="1:30">
      <c r="A432" t="s">
        <v>220</v>
      </c>
      <c r="B432" s="16">
        <v>44621</v>
      </c>
      <c r="C432" s="394">
        <v>44622</v>
      </c>
      <c r="D432" t="s">
        <v>61</v>
      </c>
      <c r="E432">
        <v>7298</v>
      </c>
      <c r="F432">
        <v>359</v>
      </c>
      <c r="G432">
        <v>329</v>
      </c>
      <c r="H432">
        <v>202</v>
      </c>
      <c r="I432">
        <v>237</v>
      </c>
      <c r="J432">
        <v>38</v>
      </c>
      <c r="K432">
        <v>102</v>
      </c>
      <c r="L432">
        <v>85</v>
      </c>
      <c r="M432">
        <v>14</v>
      </c>
      <c r="N432">
        <v>63</v>
      </c>
      <c r="O432">
        <v>386</v>
      </c>
      <c r="P432">
        <v>200</v>
      </c>
      <c r="Q432">
        <v>187</v>
      </c>
      <c r="R432">
        <v>191</v>
      </c>
      <c r="S432">
        <v>810</v>
      </c>
      <c r="T432">
        <v>428</v>
      </c>
      <c r="U432">
        <v>382</v>
      </c>
      <c r="V432">
        <v>107</v>
      </c>
      <c r="W432">
        <v>157</v>
      </c>
      <c r="X432">
        <v>84</v>
      </c>
      <c r="Y432">
        <v>274</v>
      </c>
      <c r="Z432">
        <v>147</v>
      </c>
      <c r="AA432">
        <v>11</v>
      </c>
      <c r="AB432" t="s">
        <v>67</v>
      </c>
      <c r="AC432" t="s">
        <v>148</v>
      </c>
      <c r="AD432" t="s">
        <v>143</v>
      </c>
    </row>
    <row r="433" spans="1:30">
      <c r="A433" t="s">
        <v>220</v>
      </c>
      <c r="B433" s="16">
        <v>44621</v>
      </c>
      <c r="C433" s="394">
        <v>44622</v>
      </c>
      <c r="D433" t="s">
        <v>98</v>
      </c>
      <c r="E433">
        <v>5358</v>
      </c>
      <c r="F433">
        <v>441</v>
      </c>
      <c r="G433">
        <v>420</v>
      </c>
      <c r="H433">
        <v>304</v>
      </c>
      <c r="I433">
        <v>291</v>
      </c>
      <c r="J433">
        <v>34</v>
      </c>
      <c r="K433">
        <v>56</v>
      </c>
      <c r="L433">
        <v>11</v>
      </c>
      <c r="M433">
        <v>2</v>
      </c>
      <c r="N433">
        <v>6</v>
      </c>
      <c r="O433">
        <v>245</v>
      </c>
      <c r="P433">
        <v>126</v>
      </c>
      <c r="Q433">
        <v>125</v>
      </c>
      <c r="R433">
        <v>124</v>
      </c>
      <c r="S433">
        <v>849</v>
      </c>
      <c r="T433">
        <v>354</v>
      </c>
      <c r="U433">
        <v>495</v>
      </c>
      <c r="V433">
        <v>194</v>
      </c>
      <c r="W433">
        <v>167</v>
      </c>
      <c r="X433">
        <v>104</v>
      </c>
      <c r="Y433">
        <v>282</v>
      </c>
      <c r="Z433">
        <v>124</v>
      </c>
      <c r="AA433">
        <v>20</v>
      </c>
      <c r="AB433" t="s">
        <v>103</v>
      </c>
      <c r="AC433" t="s">
        <v>185</v>
      </c>
      <c r="AD433" t="s">
        <v>180</v>
      </c>
    </row>
    <row r="434" spans="1:30">
      <c r="A434" t="s">
        <v>220</v>
      </c>
      <c r="B434" s="16">
        <v>44621</v>
      </c>
      <c r="C434" s="394">
        <v>44622</v>
      </c>
      <c r="D434" t="s">
        <v>75</v>
      </c>
      <c r="E434">
        <v>7804</v>
      </c>
      <c r="F434">
        <v>746</v>
      </c>
      <c r="G434">
        <v>701</v>
      </c>
      <c r="H434">
        <v>584</v>
      </c>
      <c r="I434">
        <v>445</v>
      </c>
      <c r="J434">
        <v>55</v>
      </c>
      <c r="K434">
        <v>91</v>
      </c>
      <c r="L434">
        <v>85</v>
      </c>
      <c r="M434">
        <v>69</v>
      </c>
      <c r="N434">
        <v>74</v>
      </c>
      <c r="O434">
        <v>335</v>
      </c>
      <c r="P434">
        <v>279</v>
      </c>
      <c r="Q434">
        <v>271</v>
      </c>
      <c r="R434">
        <v>270</v>
      </c>
      <c r="S434">
        <v>1130</v>
      </c>
      <c r="T434">
        <v>573</v>
      </c>
      <c r="U434">
        <v>557</v>
      </c>
      <c r="V434">
        <v>202</v>
      </c>
      <c r="W434">
        <v>356</v>
      </c>
      <c r="X434">
        <v>191</v>
      </c>
      <c r="Y434">
        <v>513</v>
      </c>
      <c r="Z434">
        <v>235</v>
      </c>
      <c r="AA434">
        <v>61</v>
      </c>
      <c r="AB434" t="s">
        <v>77</v>
      </c>
      <c r="AC434" t="s">
        <v>158</v>
      </c>
      <c r="AD434" t="s">
        <v>155</v>
      </c>
    </row>
    <row r="435" spans="1:30">
      <c r="A435" t="s">
        <v>220</v>
      </c>
      <c r="B435" s="16">
        <v>44621</v>
      </c>
      <c r="C435" s="394">
        <v>44622</v>
      </c>
      <c r="D435" t="s">
        <v>99</v>
      </c>
      <c r="E435">
        <v>6253</v>
      </c>
      <c r="F435">
        <v>557</v>
      </c>
      <c r="G435">
        <v>539</v>
      </c>
      <c r="H435">
        <v>490</v>
      </c>
      <c r="I435">
        <v>457</v>
      </c>
      <c r="J435">
        <v>140</v>
      </c>
      <c r="K435">
        <v>37</v>
      </c>
      <c r="L435">
        <v>34</v>
      </c>
      <c r="M435">
        <v>29</v>
      </c>
      <c r="N435">
        <v>33</v>
      </c>
      <c r="O435">
        <v>354</v>
      </c>
      <c r="P435">
        <v>319</v>
      </c>
      <c r="Q435">
        <v>317</v>
      </c>
      <c r="R435">
        <v>314</v>
      </c>
      <c r="S435">
        <v>738</v>
      </c>
      <c r="T435">
        <v>539</v>
      </c>
      <c r="U435">
        <v>199</v>
      </c>
      <c r="V435">
        <v>86</v>
      </c>
      <c r="W435">
        <v>200</v>
      </c>
      <c r="X435">
        <v>132</v>
      </c>
      <c r="Y435">
        <v>332</v>
      </c>
      <c r="Z435">
        <v>157</v>
      </c>
      <c r="AA435">
        <v>21</v>
      </c>
      <c r="AB435" t="s">
        <v>103</v>
      </c>
      <c r="AC435" t="s">
        <v>185</v>
      </c>
      <c r="AD435" t="s">
        <v>221</v>
      </c>
    </row>
    <row r="436" spans="1:30">
      <c r="A436" t="s">
        <v>220</v>
      </c>
      <c r="B436" s="16">
        <v>44621</v>
      </c>
      <c r="C436" s="394">
        <v>44622</v>
      </c>
      <c r="D436" t="s">
        <v>78</v>
      </c>
      <c r="E436">
        <v>11595</v>
      </c>
      <c r="F436">
        <v>787</v>
      </c>
      <c r="G436">
        <v>725</v>
      </c>
      <c r="H436">
        <v>496</v>
      </c>
      <c r="I436">
        <v>519</v>
      </c>
      <c r="J436">
        <v>75</v>
      </c>
      <c r="K436">
        <v>107</v>
      </c>
      <c r="L436">
        <v>93</v>
      </c>
      <c r="M436">
        <v>90</v>
      </c>
      <c r="N436">
        <v>90</v>
      </c>
      <c r="O436">
        <v>613</v>
      </c>
      <c r="P436">
        <v>402</v>
      </c>
      <c r="Q436">
        <v>399</v>
      </c>
      <c r="R436">
        <v>397</v>
      </c>
      <c r="S436">
        <v>1422</v>
      </c>
      <c r="T436">
        <v>691</v>
      </c>
      <c r="U436">
        <v>731</v>
      </c>
      <c r="V436">
        <v>134</v>
      </c>
      <c r="W436">
        <v>361</v>
      </c>
      <c r="X436">
        <v>175</v>
      </c>
      <c r="Y436">
        <v>564</v>
      </c>
      <c r="Z436">
        <v>225</v>
      </c>
      <c r="AA436">
        <v>29</v>
      </c>
      <c r="AB436" t="s">
        <v>84</v>
      </c>
      <c r="AC436" t="s">
        <v>166</v>
      </c>
      <c r="AD436" t="s">
        <v>159</v>
      </c>
    </row>
    <row r="437" spans="1:30">
      <c r="A437" t="s">
        <v>220</v>
      </c>
      <c r="B437" s="16">
        <v>44621</v>
      </c>
      <c r="C437" s="394">
        <v>44622</v>
      </c>
      <c r="D437" t="s">
        <v>76</v>
      </c>
      <c r="E437">
        <v>8209</v>
      </c>
      <c r="F437">
        <v>805</v>
      </c>
      <c r="G437">
        <v>776</v>
      </c>
      <c r="H437">
        <v>685</v>
      </c>
      <c r="I437">
        <v>509</v>
      </c>
      <c r="J437">
        <v>109</v>
      </c>
      <c r="K437">
        <v>46</v>
      </c>
      <c r="L437">
        <v>43</v>
      </c>
      <c r="M437">
        <v>38</v>
      </c>
      <c r="N437">
        <v>42</v>
      </c>
      <c r="O437">
        <v>450</v>
      </c>
      <c r="P437">
        <v>391</v>
      </c>
      <c r="Q437">
        <v>385</v>
      </c>
      <c r="R437">
        <v>378</v>
      </c>
      <c r="S437">
        <v>1070</v>
      </c>
      <c r="T437">
        <v>673</v>
      </c>
      <c r="U437">
        <v>397</v>
      </c>
      <c r="V437">
        <v>150</v>
      </c>
      <c r="W437">
        <v>346</v>
      </c>
      <c r="X437">
        <v>203</v>
      </c>
      <c r="Y437">
        <v>445</v>
      </c>
      <c r="Z437">
        <v>176</v>
      </c>
      <c r="AA437">
        <v>58</v>
      </c>
      <c r="AB437" t="s">
        <v>77</v>
      </c>
      <c r="AC437" t="s">
        <v>158</v>
      </c>
      <c r="AD437" t="s">
        <v>156</v>
      </c>
    </row>
    <row r="438" spans="1:30">
      <c r="A438" t="s">
        <v>220</v>
      </c>
      <c r="B438" s="16">
        <v>44621</v>
      </c>
      <c r="C438" s="394">
        <v>44622</v>
      </c>
      <c r="D438" t="s">
        <v>79</v>
      </c>
      <c r="E438">
        <v>8654</v>
      </c>
      <c r="F438">
        <v>418</v>
      </c>
      <c r="G438">
        <v>383</v>
      </c>
      <c r="H438">
        <v>313</v>
      </c>
      <c r="I438">
        <v>241</v>
      </c>
      <c r="J438">
        <v>30</v>
      </c>
      <c r="K438">
        <v>34</v>
      </c>
      <c r="L438">
        <v>28</v>
      </c>
      <c r="M438">
        <v>23</v>
      </c>
      <c r="N438">
        <v>28</v>
      </c>
      <c r="O438">
        <v>329</v>
      </c>
      <c r="P438">
        <v>282</v>
      </c>
      <c r="Q438">
        <v>279</v>
      </c>
      <c r="R438">
        <v>281</v>
      </c>
      <c r="S438">
        <v>762</v>
      </c>
      <c r="T438">
        <v>357</v>
      </c>
      <c r="U438">
        <v>405</v>
      </c>
      <c r="V438">
        <v>86</v>
      </c>
      <c r="W438">
        <v>149</v>
      </c>
      <c r="X438">
        <v>86</v>
      </c>
      <c r="Y438">
        <v>271</v>
      </c>
      <c r="Z438">
        <v>142</v>
      </c>
      <c r="AA438">
        <v>9</v>
      </c>
      <c r="AB438" t="s">
        <v>84</v>
      </c>
      <c r="AC438" t="s">
        <v>166</v>
      </c>
      <c r="AD438" t="s">
        <v>160</v>
      </c>
    </row>
    <row r="439" spans="1:30">
      <c r="A439" t="s">
        <v>220</v>
      </c>
      <c r="B439" s="16">
        <v>44621</v>
      </c>
      <c r="C439" s="394">
        <v>44622</v>
      </c>
      <c r="D439" t="s">
        <v>86</v>
      </c>
      <c r="E439">
        <v>1693</v>
      </c>
      <c r="F439">
        <v>136</v>
      </c>
      <c r="G439">
        <v>133</v>
      </c>
      <c r="H439">
        <v>114</v>
      </c>
      <c r="I439">
        <v>104</v>
      </c>
      <c r="J439">
        <v>23</v>
      </c>
      <c r="K439">
        <v>20</v>
      </c>
      <c r="L439">
        <v>13</v>
      </c>
      <c r="M439">
        <v>10</v>
      </c>
      <c r="N439">
        <v>8</v>
      </c>
      <c r="O439">
        <v>83</v>
      </c>
      <c r="P439">
        <v>62</v>
      </c>
      <c r="Q439">
        <v>62</v>
      </c>
      <c r="R439">
        <v>62</v>
      </c>
      <c r="S439">
        <v>260</v>
      </c>
      <c r="T439">
        <v>136</v>
      </c>
      <c r="U439">
        <v>124</v>
      </c>
      <c r="V439">
        <v>17</v>
      </c>
      <c r="W439">
        <v>69</v>
      </c>
      <c r="X439">
        <v>32</v>
      </c>
      <c r="Y439">
        <v>80</v>
      </c>
      <c r="Z439">
        <v>24</v>
      </c>
      <c r="AA439">
        <v>4</v>
      </c>
      <c r="AB439" t="s">
        <v>91</v>
      </c>
      <c r="AC439" t="s">
        <v>173</v>
      </c>
      <c r="AD439" t="s">
        <v>168</v>
      </c>
    </row>
    <row r="440" spans="1:30">
      <c r="A440" t="s">
        <v>220</v>
      </c>
      <c r="B440" s="16">
        <v>44621</v>
      </c>
      <c r="C440" s="394">
        <v>44622</v>
      </c>
      <c r="D440" t="s">
        <v>102</v>
      </c>
      <c r="E440">
        <v>12975</v>
      </c>
      <c r="F440">
        <v>773</v>
      </c>
      <c r="G440">
        <v>717</v>
      </c>
      <c r="H440">
        <v>514</v>
      </c>
      <c r="I440">
        <v>564</v>
      </c>
      <c r="J440">
        <v>86</v>
      </c>
      <c r="K440">
        <v>107</v>
      </c>
      <c r="L440">
        <v>84</v>
      </c>
      <c r="M440">
        <v>69</v>
      </c>
      <c r="N440">
        <v>78</v>
      </c>
      <c r="O440">
        <v>562</v>
      </c>
      <c r="P440">
        <v>255</v>
      </c>
      <c r="Q440">
        <v>243</v>
      </c>
      <c r="R440">
        <v>243</v>
      </c>
      <c r="S440">
        <v>1479</v>
      </c>
      <c r="T440">
        <v>860</v>
      </c>
      <c r="U440">
        <v>619</v>
      </c>
      <c r="V440">
        <v>184</v>
      </c>
      <c r="W440">
        <v>320</v>
      </c>
      <c r="X440">
        <v>176</v>
      </c>
      <c r="Y440">
        <v>504</v>
      </c>
      <c r="Z440">
        <v>257</v>
      </c>
      <c r="AA440">
        <v>26</v>
      </c>
      <c r="AB440" t="s">
        <v>103</v>
      </c>
      <c r="AC440" t="s">
        <v>185</v>
      </c>
      <c r="AD440" t="s">
        <v>184</v>
      </c>
    </row>
    <row r="441" spans="1:30">
      <c r="A441" t="s">
        <v>220</v>
      </c>
      <c r="B441" s="16">
        <v>44621</v>
      </c>
      <c r="C441" s="394">
        <v>44622</v>
      </c>
      <c r="D441" t="s">
        <v>100</v>
      </c>
      <c r="E441">
        <v>5717</v>
      </c>
      <c r="F441">
        <v>454</v>
      </c>
      <c r="G441">
        <v>428</v>
      </c>
      <c r="H441">
        <v>162</v>
      </c>
      <c r="I441">
        <v>322</v>
      </c>
      <c r="J441">
        <v>27</v>
      </c>
      <c r="K441">
        <v>62</v>
      </c>
      <c r="L441">
        <v>44</v>
      </c>
      <c r="M441">
        <v>17</v>
      </c>
      <c r="N441">
        <v>35</v>
      </c>
      <c r="O441">
        <v>271</v>
      </c>
      <c r="P441">
        <v>121</v>
      </c>
      <c r="Q441">
        <v>101</v>
      </c>
      <c r="R441">
        <v>103</v>
      </c>
      <c r="S441">
        <v>802</v>
      </c>
      <c r="T441">
        <v>311</v>
      </c>
      <c r="U441">
        <v>491</v>
      </c>
      <c r="V441">
        <v>95</v>
      </c>
      <c r="W441">
        <v>197</v>
      </c>
      <c r="X441">
        <v>115</v>
      </c>
      <c r="Y441">
        <v>284</v>
      </c>
      <c r="Z441">
        <v>143</v>
      </c>
      <c r="AA441">
        <v>42</v>
      </c>
      <c r="AB441" t="s">
        <v>103</v>
      </c>
      <c r="AC441" t="s">
        <v>185</v>
      </c>
      <c r="AD441" t="s">
        <v>182</v>
      </c>
    </row>
    <row r="442" spans="1:30">
      <c r="A442" t="s">
        <v>220</v>
      </c>
      <c r="B442" s="16">
        <v>44621</v>
      </c>
      <c r="C442" s="394">
        <v>44622</v>
      </c>
      <c r="D442" t="s">
        <v>71</v>
      </c>
      <c r="E442">
        <v>5693</v>
      </c>
      <c r="F442">
        <v>341</v>
      </c>
      <c r="G442">
        <v>316</v>
      </c>
      <c r="H442">
        <v>155</v>
      </c>
      <c r="I442">
        <v>138</v>
      </c>
      <c r="J442">
        <v>10</v>
      </c>
      <c r="K442">
        <v>72</v>
      </c>
      <c r="L442">
        <v>40</v>
      </c>
      <c r="M442">
        <v>3</v>
      </c>
      <c r="N442">
        <v>32</v>
      </c>
      <c r="O442">
        <v>320</v>
      </c>
      <c r="P442">
        <v>204</v>
      </c>
      <c r="Q442">
        <v>202</v>
      </c>
      <c r="R442">
        <v>202</v>
      </c>
      <c r="S442">
        <v>1076</v>
      </c>
      <c r="T442">
        <v>437</v>
      </c>
      <c r="U442">
        <v>639</v>
      </c>
      <c r="V442">
        <v>61</v>
      </c>
      <c r="W442">
        <v>281</v>
      </c>
      <c r="X442">
        <v>128</v>
      </c>
      <c r="Y442">
        <v>479</v>
      </c>
      <c r="Z442">
        <v>282</v>
      </c>
      <c r="AA442">
        <v>12</v>
      </c>
      <c r="AB442" t="s">
        <v>74</v>
      </c>
      <c r="AC442" t="s">
        <v>154</v>
      </c>
      <c r="AD442" t="s">
        <v>152</v>
      </c>
    </row>
    <row r="443" spans="1:30">
      <c r="A443" t="s">
        <v>220</v>
      </c>
      <c r="B443" s="16">
        <v>44621</v>
      </c>
      <c r="C443" s="394">
        <v>44622</v>
      </c>
      <c r="D443" t="s">
        <v>95</v>
      </c>
      <c r="E443">
        <v>4598</v>
      </c>
      <c r="F443">
        <v>317</v>
      </c>
      <c r="G443">
        <v>305</v>
      </c>
      <c r="H443">
        <v>192</v>
      </c>
      <c r="I443">
        <v>112</v>
      </c>
      <c r="J443">
        <v>9</v>
      </c>
      <c r="K443">
        <v>29</v>
      </c>
      <c r="L443">
        <v>18</v>
      </c>
      <c r="M443">
        <v>5</v>
      </c>
      <c r="N443">
        <v>14</v>
      </c>
      <c r="O443">
        <v>204</v>
      </c>
      <c r="P443">
        <v>113</v>
      </c>
      <c r="Q443">
        <v>111</v>
      </c>
      <c r="R443">
        <v>112</v>
      </c>
      <c r="S443">
        <v>505</v>
      </c>
      <c r="T443">
        <v>226</v>
      </c>
      <c r="U443">
        <v>279</v>
      </c>
      <c r="V443">
        <v>42</v>
      </c>
      <c r="W443">
        <v>134</v>
      </c>
      <c r="X443">
        <v>76</v>
      </c>
      <c r="Y443">
        <v>186</v>
      </c>
      <c r="Z443">
        <v>87</v>
      </c>
      <c r="AA443">
        <v>7</v>
      </c>
      <c r="AB443" t="s">
        <v>97</v>
      </c>
      <c r="AC443" t="s">
        <v>179</v>
      </c>
      <c r="AD443" t="s">
        <v>177</v>
      </c>
    </row>
    <row r="444" spans="1:30">
      <c r="A444" t="s">
        <v>220</v>
      </c>
      <c r="B444" s="16">
        <v>44621</v>
      </c>
      <c r="C444" s="394">
        <v>44622</v>
      </c>
      <c r="D444" t="s">
        <v>83</v>
      </c>
      <c r="E444">
        <v>4154</v>
      </c>
      <c r="F444">
        <v>372</v>
      </c>
      <c r="G444">
        <v>356</v>
      </c>
      <c r="H444">
        <v>178</v>
      </c>
      <c r="I444">
        <v>121</v>
      </c>
      <c r="J444">
        <v>21</v>
      </c>
      <c r="K444">
        <v>35</v>
      </c>
      <c r="L444">
        <v>20</v>
      </c>
      <c r="M444">
        <v>0</v>
      </c>
      <c r="N444">
        <v>18</v>
      </c>
      <c r="O444">
        <v>225</v>
      </c>
      <c r="P444">
        <v>192</v>
      </c>
      <c r="Q444">
        <v>187</v>
      </c>
      <c r="R444">
        <v>188</v>
      </c>
      <c r="S444">
        <v>674</v>
      </c>
      <c r="T444">
        <v>317</v>
      </c>
      <c r="U444">
        <v>357</v>
      </c>
      <c r="V444">
        <v>59</v>
      </c>
      <c r="W444">
        <v>131</v>
      </c>
      <c r="X444">
        <v>67</v>
      </c>
      <c r="Y444">
        <v>211</v>
      </c>
      <c r="Z444">
        <v>119</v>
      </c>
      <c r="AA444">
        <v>2</v>
      </c>
      <c r="AB444" t="s">
        <v>84</v>
      </c>
      <c r="AC444" t="s">
        <v>166</v>
      </c>
      <c r="AD444" t="s">
        <v>164</v>
      </c>
    </row>
    <row r="445" spans="1:30">
      <c r="A445" t="s">
        <v>220</v>
      </c>
      <c r="B445" s="16">
        <v>44621</v>
      </c>
      <c r="C445" s="394">
        <v>44622</v>
      </c>
      <c r="D445" t="s">
        <v>92</v>
      </c>
      <c r="E445">
        <v>11848</v>
      </c>
      <c r="F445">
        <v>685</v>
      </c>
      <c r="G445">
        <v>648</v>
      </c>
      <c r="H445">
        <v>486</v>
      </c>
      <c r="I445">
        <v>231</v>
      </c>
      <c r="J445">
        <v>22</v>
      </c>
      <c r="K445">
        <v>89</v>
      </c>
      <c r="L445">
        <v>75</v>
      </c>
      <c r="M445">
        <v>48</v>
      </c>
      <c r="N445">
        <v>62</v>
      </c>
      <c r="O445">
        <v>705</v>
      </c>
      <c r="P445">
        <v>472</v>
      </c>
      <c r="Q445">
        <v>461</v>
      </c>
      <c r="R445">
        <v>470</v>
      </c>
      <c r="S445">
        <v>1305</v>
      </c>
      <c r="T445">
        <v>664</v>
      </c>
      <c r="U445">
        <v>641</v>
      </c>
      <c r="V445">
        <v>208</v>
      </c>
      <c r="W445">
        <v>315</v>
      </c>
      <c r="X445">
        <v>157</v>
      </c>
      <c r="Y445">
        <v>446</v>
      </c>
      <c r="Z445">
        <v>207</v>
      </c>
      <c r="AA445">
        <v>10</v>
      </c>
      <c r="AB445" t="s">
        <v>97</v>
      </c>
      <c r="AC445" t="s">
        <v>179</v>
      </c>
      <c r="AD445" t="s">
        <v>174</v>
      </c>
    </row>
    <row r="446" spans="1:30">
      <c r="A446" t="s">
        <v>220</v>
      </c>
      <c r="B446" s="16">
        <v>44621</v>
      </c>
      <c r="C446" s="394">
        <v>44622</v>
      </c>
      <c r="D446" t="s">
        <v>72</v>
      </c>
      <c r="E446">
        <v>6031</v>
      </c>
      <c r="F446">
        <v>372</v>
      </c>
      <c r="G446">
        <v>346</v>
      </c>
      <c r="H446">
        <v>315</v>
      </c>
      <c r="I446">
        <v>126</v>
      </c>
      <c r="J446">
        <v>35</v>
      </c>
      <c r="K446">
        <v>67</v>
      </c>
      <c r="L446">
        <v>43</v>
      </c>
      <c r="M446">
        <v>24</v>
      </c>
      <c r="N446">
        <v>12</v>
      </c>
      <c r="O446">
        <v>405</v>
      </c>
      <c r="P446">
        <v>288</v>
      </c>
      <c r="Q446">
        <v>281</v>
      </c>
      <c r="R446">
        <v>278</v>
      </c>
      <c r="S446">
        <v>842</v>
      </c>
      <c r="T446">
        <v>633</v>
      </c>
      <c r="U446">
        <v>209</v>
      </c>
      <c r="V446">
        <v>106</v>
      </c>
      <c r="W446">
        <v>246</v>
      </c>
      <c r="X446">
        <v>115</v>
      </c>
      <c r="Y446">
        <v>401</v>
      </c>
      <c r="Z446">
        <v>209</v>
      </c>
      <c r="AA446">
        <v>19</v>
      </c>
      <c r="AB446" t="s">
        <v>74</v>
      </c>
      <c r="AC446" t="s">
        <v>154</v>
      </c>
      <c r="AD446" t="s">
        <v>153</v>
      </c>
    </row>
    <row r="447" spans="1:30">
      <c r="A447" t="s">
        <v>220</v>
      </c>
      <c r="B447" s="16">
        <v>44621</v>
      </c>
      <c r="C447" s="394">
        <v>44622</v>
      </c>
      <c r="D447" t="s">
        <v>85</v>
      </c>
      <c r="E447">
        <v>5328</v>
      </c>
      <c r="F447">
        <v>320</v>
      </c>
      <c r="G447">
        <v>302</v>
      </c>
      <c r="H447">
        <v>169</v>
      </c>
      <c r="I447">
        <v>245</v>
      </c>
      <c r="J447">
        <v>43</v>
      </c>
      <c r="K447">
        <v>29</v>
      </c>
      <c r="L447">
        <v>20</v>
      </c>
      <c r="M447">
        <v>18</v>
      </c>
      <c r="N447">
        <v>20</v>
      </c>
      <c r="O447">
        <v>266</v>
      </c>
      <c r="P447">
        <v>152</v>
      </c>
      <c r="Q447">
        <v>151</v>
      </c>
      <c r="R447">
        <v>149</v>
      </c>
      <c r="S447">
        <v>593</v>
      </c>
      <c r="T447">
        <v>277</v>
      </c>
      <c r="U447">
        <v>316</v>
      </c>
      <c r="V447">
        <v>51</v>
      </c>
      <c r="W447">
        <v>158</v>
      </c>
      <c r="X447">
        <v>69</v>
      </c>
      <c r="Y447">
        <v>285</v>
      </c>
      <c r="Z447">
        <v>129</v>
      </c>
      <c r="AA447">
        <v>11</v>
      </c>
      <c r="AB447" t="s">
        <v>91</v>
      </c>
      <c r="AC447" t="s">
        <v>173</v>
      </c>
      <c r="AD447" t="s">
        <v>167</v>
      </c>
    </row>
    <row r="448" spans="1:30">
      <c r="A448" t="s">
        <v>220</v>
      </c>
      <c r="B448" s="16">
        <v>44621</v>
      </c>
      <c r="C448" s="394">
        <v>44622</v>
      </c>
      <c r="D448" t="s">
        <v>88</v>
      </c>
      <c r="E448">
        <v>4671</v>
      </c>
      <c r="F448">
        <v>429</v>
      </c>
      <c r="G448">
        <v>407</v>
      </c>
      <c r="H448">
        <v>262</v>
      </c>
      <c r="I448">
        <v>267</v>
      </c>
      <c r="J448">
        <v>38</v>
      </c>
      <c r="K448">
        <v>52</v>
      </c>
      <c r="L448">
        <v>44</v>
      </c>
      <c r="M448">
        <v>26</v>
      </c>
      <c r="N448">
        <v>36</v>
      </c>
      <c r="O448">
        <v>238</v>
      </c>
      <c r="P448">
        <v>157</v>
      </c>
      <c r="Q448">
        <v>151</v>
      </c>
      <c r="R448">
        <v>154</v>
      </c>
      <c r="S448">
        <v>687</v>
      </c>
      <c r="T448">
        <v>290</v>
      </c>
      <c r="U448">
        <v>397</v>
      </c>
      <c r="V448">
        <v>139</v>
      </c>
      <c r="W448">
        <v>202</v>
      </c>
      <c r="X448">
        <v>92</v>
      </c>
      <c r="Y448">
        <v>283</v>
      </c>
      <c r="Z448">
        <v>141</v>
      </c>
      <c r="AA448">
        <v>5</v>
      </c>
      <c r="AB448" t="s">
        <v>91</v>
      </c>
      <c r="AC448" t="s">
        <v>173</v>
      </c>
      <c r="AD448" t="s">
        <v>170</v>
      </c>
    </row>
    <row r="449" spans="1:30">
      <c r="A449" t="s">
        <v>220</v>
      </c>
      <c r="B449" s="16">
        <v>44621</v>
      </c>
      <c r="C449" s="394">
        <v>44622</v>
      </c>
      <c r="D449" t="s">
        <v>64</v>
      </c>
      <c r="E449">
        <v>5461</v>
      </c>
      <c r="F449">
        <v>305</v>
      </c>
      <c r="G449">
        <v>289</v>
      </c>
      <c r="H449">
        <v>130</v>
      </c>
      <c r="I449">
        <v>210</v>
      </c>
      <c r="J449">
        <v>17</v>
      </c>
      <c r="K449">
        <v>26</v>
      </c>
      <c r="L449">
        <v>10</v>
      </c>
      <c r="M449">
        <v>3</v>
      </c>
      <c r="N449">
        <v>6</v>
      </c>
      <c r="O449">
        <v>193</v>
      </c>
      <c r="P449">
        <v>132</v>
      </c>
      <c r="Q449">
        <v>113</v>
      </c>
      <c r="R449">
        <v>107</v>
      </c>
      <c r="S449">
        <v>541</v>
      </c>
      <c r="T449">
        <v>260</v>
      </c>
      <c r="U449">
        <v>281</v>
      </c>
      <c r="V449">
        <v>60</v>
      </c>
      <c r="W449">
        <v>112</v>
      </c>
      <c r="X449">
        <v>51</v>
      </c>
      <c r="Y449">
        <v>172</v>
      </c>
      <c r="Z449">
        <v>93</v>
      </c>
      <c r="AA449">
        <v>1</v>
      </c>
      <c r="AB449" t="s">
        <v>67</v>
      </c>
      <c r="AC449" t="s">
        <v>148</v>
      </c>
      <c r="AD449" t="s">
        <v>144</v>
      </c>
    </row>
    <row r="450" spans="1:30">
      <c r="A450" t="s">
        <v>220</v>
      </c>
      <c r="B450" s="16">
        <v>44621</v>
      </c>
      <c r="C450" s="394">
        <v>44622</v>
      </c>
      <c r="D450" t="s">
        <v>70</v>
      </c>
      <c r="E450">
        <v>10596</v>
      </c>
      <c r="F450">
        <v>819</v>
      </c>
      <c r="G450">
        <v>771</v>
      </c>
      <c r="H450">
        <v>465</v>
      </c>
      <c r="I450">
        <v>224</v>
      </c>
      <c r="J450">
        <v>22</v>
      </c>
      <c r="K450">
        <v>224</v>
      </c>
      <c r="L450">
        <v>163</v>
      </c>
      <c r="M450">
        <v>66</v>
      </c>
      <c r="N450">
        <v>131</v>
      </c>
      <c r="O450">
        <v>711</v>
      </c>
      <c r="P450">
        <v>507</v>
      </c>
      <c r="Q450">
        <v>493</v>
      </c>
      <c r="R450">
        <v>500</v>
      </c>
      <c r="S450">
        <v>1832</v>
      </c>
      <c r="T450">
        <v>1011</v>
      </c>
      <c r="U450">
        <v>821</v>
      </c>
      <c r="V450">
        <v>336</v>
      </c>
      <c r="W450">
        <v>574</v>
      </c>
      <c r="X450">
        <v>254</v>
      </c>
      <c r="Y450">
        <v>823</v>
      </c>
      <c r="Z450">
        <v>370</v>
      </c>
      <c r="AA450">
        <v>87</v>
      </c>
      <c r="AB450" t="s">
        <v>74</v>
      </c>
      <c r="AC450" t="s">
        <v>154</v>
      </c>
      <c r="AD450" t="s">
        <v>151</v>
      </c>
    </row>
    <row r="451" spans="1:30">
      <c r="A451" t="s">
        <v>220</v>
      </c>
      <c r="B451" s="16">
        <v>44621</v>
      </c>
      <c r="C451" s="394">
        <v>44622</v>
      </c>
      <c r="D451" t="s">
        <v>96</v>
      </c>
      <c r="E451">
        <v>7148</v>
      </c>
      <c r="F451">
        <v>520</v>
      </c>
      <c r="G451">
        <v>496</v>
      </c>
      <c r="H451">
        <v>240</v>
      </c>
      <c r="I451">
        <v>361</v>
      </c>
      <c r="J451">
        <v>27</v>
      </c>
      <c r="K451">
        <v>89</v>
      </c>
      <c r="L451">
        <v>56</v>
      </c>
      <c r="M451">
        <v>46</v>
      </c>
      <c r="N451">
        <v>53</v>
      </c>
      <c r="O451">
        <v>357</v>
      </c>
      <c r="P451">
        <v>139</v>
      </c>
      <c r="Q451">
        <v>125</v>
      </c>
      <c r="R451">
        <v>123</v>
      </c>
      <c r="S451">
        <v>1100</v>
      </c>
      <c r="T451">
        <v>447</v>
      </c>
      <c r="U451">
        <v>653</v>
      </c>
      <c r="V451">
        <v>126</v>
      </c>
      <c r="W451">
        <v>257</v>
      </c>
      <c r="X451">
        <v>126</v>
      </c>
      <c r="Y451">
        <v>406</v>
      </c>
      <c r="Z451">
        <v>181</v>
      </c>
      <c r="AA451">
        <v>10</v>
      </c>
      <c r="AB451" t="s">
        <v>97</v>
      </c>
      <c r="AC451" t="s">
        <v>179</v>
      </c>
      <c r="AD451" t="s">
        <v>178</v>
      </c>
    </row>
    <row r="452" spans="1:30">
      <c r="A452" t="s">
        <v>220</v>
      </c>
      <c r="B452" s="16">
        <v>44621</v>
      </c>
      <c r="C452" s="394">
        <v>44622</v>
      </c>
      <c r="D452" t="s">
        <v>82</v>
      </c>
      <c r="E452">
        <v>6372</v>
      </c>
      <c r="F452">
        <v>513</v>
      </c>
      <c r="G452">
        <v>488</v>
      </c>
      <c r="H452">
        <v>301</v>
      </c>
      <c r="I452">
        <v>359</v>
      </c>
      <c r="J452">
        <v>47</v>
      </c>
      <c r="K452">
        <v>57</v>
      </c>
      <c r="L452">
        <v>40</v>
      </c>
      <c r="M452">
        <v>33</v>
      </c>
      <c r="N452">
        <v>36</v>
      </c>
      <c r="O452">
        <v>325</v>
      </c>
      <c r="P452">
        <v>235</v>
      </c>
      <c r="Q452">
        <v>235</v>
      </c>
      <c r="R452">
        <v>235</v>
      </c>
      <c r="S452">
        <v>689</v>
      </c>
      <c r="T452">
        <v>321</v>
      </c>
      <c r="U452">
        <v>368</v>
      </c>
      <c r="V452">
        <v>100</v>
      </c>
      <c r="W452">
        <v>193</v>
      </c>
      <c r="X452">
        <v>92</v>
      </c>
      <c r="Y452">
        <v>317</v>
      </c>
      <c r="Z452">
        <v>136</v>
      </c>
      <c r="AA452">
        <v>3</v>
      </c>
      <c r="AB452" t="s">
        <v>84</v>
      </c>
      <c r="AC452" t="s">
        <v>166</v>
      </c>
      <c r="AD452" t="s">
        <v>163</v>
      </c>
    </row>
    <row r="453" spans="1:30">
      <c r="A453" t="s">
        <v>220</v>
      </c>
      <c r="B453" s="16">
        <v>44621</v>
      </c>
      <c r="C453" s="394">
        <v>44622</v>
      </c>
      <c r="D453" t="s">
        <v>54</v>
      </c>
      <c r="E453">
        <v>6547</v>
      </c>
      <c r="F453">
        <v>419</v>
      </c>
      <c r="G453">
        <v>382</v>
      </c>
      <c r="H453">
        <v>217</v>
      </c>
      <c r="I453">
        <v>282</v>
      </c>
      <c r="J453">
        <v>28</v>
      </c>
      <c r="K453">
        <v>97</v>
      </c>
      <c r="L453">
        <v>86</v>
      </c>
      <c r="M453">
        <v>60</v>
      </c>
      <c r="N453">
        <v>76</v>
      </c>
      <c r="O453">
        <v>332</v>
      </c>
      <c r="P453">
        <v>227</v>
      </c>
      <c r="Q453">
        <v>219</v>
      </c>
      <c r="R453">
        <v>215</v>
      </c>
      <c r="S453">
        <v>869</v>
      </c>
      <c r="T453">
        <v>474</v>
      </c>
      <c r="U453">
        <v>395</v>
      </c>
      <c r="V453">
        <v>17</v>
      </c>
      <c r="W453">
        <v>266</v>
      </c>
      <c r="X453">
        <v>92</v>
      </c>
      <c r="Y453">
        <v>388</v>
      </c>
      <c r="Z453">
        <v>196</v>
      </c>
      <c r="AA453">
        <v>9</v>
      </c>
      <c r="AB453" t="s">
        <v>67</v>
      </c>
      <c r="AC453" t="s">
        <v>148</v>
      </c>
      <c r="AD453" t="s">
        <v>142</v>
      </c>
    </row>
    <row r="454" spans="1:30">
      <c r="A454" t="s">
        <v>220</v>
      </c>
      <c r="B454" s="16">
        <v>44621</v>
      </c>
      <c r="C454" s="394">
        <v>44622</v>
      </c>
      <c r="D454" t="s">
        <v>89</v>
      </c>
      <c r="E454">
        <v>11870</v>
      </c>
      <c r="F454">
        <v>879</v>
      </c>
      <c r="G454">
        <v>835</v>
      </c>
      <c r="H454">
        <v>568</v>
      </c>
      <c r="I454">
        <v>304</v>
      </c>
      <c r="J454">
        <v>34</v>
      </c>
      <c r="K454">
        <v>120</v>
      </c>
      <c r="L454">
        <v>108</v>
      </c>
      <c r="M454">
        <v>92</v>
      </c>
      <c r="N454">
        <v>103</v>
      </c>
      <c r="O454">
        <v>568</v>
      </c>
      <c r="P454">
        <v>433</v>
      </c>
      <c r="Q454">
        <v>418</v>
      </c>
      <c r="R454">
        <v>426</v>
      </c>
      <c r="S454">
        <v>1815</v>
      </c>
      <c r="T454">
        <v>975</v>
      </c>
      <c r="U454">
        <v>840</v>
      </c>
      <c r="V454">
        <v>331</v>
      </c>
      <c r="W454">
        <v>313</v>
      </c>
      <c r="X454">
        <v>165</v>
      </c>
      <c r="Y454">
        <v>421</v>
      </c>
      <c r="Z454">
        <v>225</v>
      </c>
      <c r="AA454">
        <v>51</v>
      </c>
      <c r="AB454" t="s">
        <v>91</v>
      </c>
      <c r="AC454" t="s">
        <v>173</v>
      </c>
      <c r="AD454" t="s">
        <v>171</v>
      </c>
    </row>
    <row r="455" spans="1:30">
      <c r="A455" t="s">
        <v>220</v>
      </c>
      <c r="B455" s="16">
        <v>44621</v>
      </c>
      <c r="C455" s="394">
        <v>44622</v>
      </c>
      <c r="D455" t="s">
        <v>101</v>
      </c>
      <c r="E455">
        <v>4713</v>
      </c>
      <c r="F455">
        <v>239</v>
      </c>
      <c r="G455">
        <v>221</v>
      </c>
      <c r="H455">
        <v>214</v>
      </c>
      <c r="I455">
        <v>161</v>
      </c>
      <c r="J455">
        <v>44</v>
      </c>
      <c r="K455">
        <v>30</v>
      </c>
      <c r="L455">
        <v>28</v>
      </c>
      <c r="M455">
        <v>28</v>
      </c>
      <c r="N455">
        <v>25</v>
      </c>
      <c r="O455">
        <v>208</v>
      </c>
      <c r="P455">
        <v>166</v>
      </c>
      <c r="Q455">
        <v>161</v>
      </c>
      <c r="R455">
        <v>158</v>
      </c>
      <c r="S455">
        <v>465</v>
      </c>
      <c r="T455">
        <v>276</v>
      </c>
      <c r="U455">
        <v>189</v>
      </c>
      <c r="V455">
        <v>40</v>
      </c>
      <c r="W455">
        <v>87</v>
      </c>
      <c r="X455">
        <v>52</v>
      </c>
      <c r="Y455">
        <v>139</v>
      </c>
      <c r="Z455">
        <v>73</v>
      </c>
      <c r="AA455">
        <v>17</v>
      </c>
      <c r="AB455" t="s">
        <v>103</v>
      </c>
      <c r="AC455" t="s">
        <v>185</v>
      </c>
      <c r="AD455" t="s">
        <v>183</v>
      </c>
    </row>
    <row r="456" spans="1:30">
      <c r="A456" t="s">
        <v>220</v>
      </c>
      <c r="B456" s="16">
        <v>44621</v>
      </c>
      <c r="C456" s="394">
        <v>44622</v>
      </c>
      <c r="D456" t="s">
        <v>66</v>
      </c>
      <c r="E456">
        <v>3236</v>
      </c>
      <c r="F456">
        <v>127</v>
      </c>
      <c r="G456">
        <v>113</v>
      </c>
      <c r="H456">
        <v>85</v>
      </c>
      <c r="I456">
        <v>74</v>
      </c>
      <c r="J456">
        <v>10</v>
      </c>
      <c r="K456">
        <v>44</v>
      </c>
      <c r="L456">
        <v>38</v>
      </c>
      <c r="M456">
        <v>5</v>
      </c>
      <c r="N456">
        <v>21</v>
      </c>
      <c r="O456">
        <v>191</v>
      </c>
      <c r="P456">
        <v>127</v>
      </c>
      <c r="Q456">
        <v>116</v>
      </c>
      <c r="R456">
        <v>113</v>
      </c>
      <c r="S456">
        <v>297</v>
      </c>
      <c r="T456">
        <v>182</v>
      </c>
      <c r="U456">
        <v>115</v>
      </c>
      <c r="V456">
        <v>41</v>
      </c>
      <c r="W456">
        <v>77</v>
      </c>
      <c r="X456">
        <v>45</v>
      </c>
      <c r="Y456">
        <v>110</v>
      </c>
      <c r="Z456">
        <v>50</v>
      </c>
      <c r="AA456">
        <v>10</v>
      </c>
      <c r="AB456" t="s">
        <v>67</v>
      </c>
      <c r="AC456" t="s">
        <v>148</v>
      </c>
      <c r="AD456" t="s">
        <v>146</v>
      </c>
    </row>
    <row r="457" spans="1:30">
      <c r="A457" t="s">
        <v>220</v>
      </c>
      <c r="B457" s="16">
        <v>44621</v>
      </c>
      <c r="C457" s="394">
        <v>44622</v>
      </c>
      <c r="D457" t="s">
        <v>80</v>
      </c>
      <c r="E457">
        <v>5517</v>
      </c>
      <c r="F457">
        <v>357</v>
      </c>
      <c r="G457">
        <v>341</v>
      </c>
      <c r="H457">
        <v>275</v>
      </c>
      <c r="I457">
        <v>121</v>
      </c>
      <c r="J457">
        <v>17</v>
      </c>
      <c r="K457">
        <v>25</v>
      </c>
      <c r="L457">
        <v>21</v>
      </c>
      <c r="M457">
        <v>15</v>
      </c>
      <c r="N457">
        <v>21</v>
      </c>
      <c r="O457">
        <v>241</v>
      </c>
      <c r="P457">
        <v>187</v>
      </c>
      <c r="Q457">
        <v>184</v>
      </c>
      <c r="R457">
        <v>183</v>
      </c>
      <c r="S457">
        <v>577</v>
      </c>
      <c r="T457">
        <v>348</v>
      </c>
      <c r="U457">
        <v>229</v>
      </c>
      <c r="V457">
        <v>101</v>
      </c>
      <c r="W457">
        <v>145</v>
      </c>
      <c r="X457">
        <v>90</v>
      </c>
      <c r="Y457">
        <v>203</v>
      </c>
      <c r="Z457">
        <v>99</v>
      </c>
      <c r="AA457">
        <v>8</v>
      </c>
      <c r="AB457" t="s">
        <v>84</v>
      </c>
      <c r="AC457" t="s">
        <v>166</v>
      </c>
      <c r="AD457" t="s">
        <v>161</v>
      </c>
    </row>
    <row r="458" spans="1:30">
      <c r="A458" t="s">
        <v>220</v>
      </c>
      <c r="B458" s="16">
        <v>44621</v>
      </c>
      <c r="C458" s="394">
        <v>44622</v>
      </c>
      <c r="D458" t="s">
        <v>52</v>
      </c>
      <c r="E458">
        <v>3043</v>
      </c>
      <c r="F458">
        <v>218</v>
      </c>
      <c r="G458">
        <v>203</v>
      </c>
      <c r="H458">
        <v>177</v>
      </c>
      <c r="I458">
        <v>42</v>
      </c>
      <c r="J458">
        <v>9</v>
      </c>
      <c r="K458">
        <v>106</v>
      </c>
      <c r="L458">
        <v>100</v>
      </c>
      <c r="M458">
        <v>72</v>
      </c>
      <c r="N458">
        <v>31</v>
      </c>
      <c r="O458">
        <v>223</v>
      </c>
      <c r="P458">
        <v>168</v>
      </c>
      <c r="Q458">
        <v>166</v>
      </c>
      <c r="R458">
        <v>164</v>
      </c>
      <c r="S458">
        <v>738</v>
      </c>
      <c r="T458">
        <v>552</v>
      </c>
      <c r="U458">
        <v>186</v>
      </c>
      <c r="V458">
        <v>49</v>
      </c>
      <c r="W458">
        <v>206</v>
      </c>
      <c r="X458">
        <v>70</v>
      </c>
      <c r="Y458">
        <v>265</v>
      </c>
      <c r="Z458">
        <v>159</v>
      </c>
      <c r="AA458">
        <v>2</v>
      </c>
      <c r="AB458" t="s">
        <v>67</v>
      </c>
      <c r="AC458" t="s">
        <v>148</v>
      </c>
      <c r="AD458" t="s">
        <v>141</v>
      </c>
    </row>
    <row r="459" spans="1:30">
      <c r="A459" t="s">
        <v>220</v>
      </c>
      <c r="B459" s="16">
        <v>44621</v>
      </c>
      <c r="C459" s="394">
        <v>44622</v>
      </c>
      <c r="D459" t="s">
        <v>87</v>
      </c>
      <c r="E459">
        <v>3052</v>
      </c>
      <c r="F459">
        <v>268</v>
      </c>
      <c r="G459">
        <v>254</v>
      </c>
      <c r="H459">
        <v>169</v>
      </c>
      <c r="I459">
        <v>192</v>
      </c>
      <c r="J459">
        <v>16</v>
      </c>
      <c r="K459">
        <v>24</v>
      </c>
      <c r="L459">
        <v>20</v>
      </c>
      <c r="M459">
        <v>17</v>
      </c>
      <c r="N459">
        <v>20</v>
      </c>
      <c r="O459">
        <v>132</v>
      </c>
      <c r="P459">
        <v>126</v>
      </c>
      <c r="Q459">
        <v>104</v>
      </c>
      <c r="R459">
        <v>106</v>
      </c>
      <c r="S459">
        <v>468</v>
      </c>
      <c r="T459">
        <v>246</v>
      </c>
      <c r="U459">
        <v>222</v>
      </c>
      <c r="V459">
        <v>96</v>
      </c>
      <c r="W459">
        <v>93</v>
      </c>
      <c r="X459">
        <v>48</v>
      </c>
      <c r="Y459">
        <v>137</v>
      </c>
      <c r="Z459">
        <v>82</v>
      </c>
      <c r="AA459">
        <v>3</v>
      </c>
      <c r="AB459" t="s">
        <v>91</v>
      </c>
      <c r="AC459" t="s">
        <v>173</v>
      </c>
      <c r="AD459" t="s">
        <v>169</v>
      </c>
    </row>
    <row r="460" spans="1:30">
      <c r="A460" t="s">
        <v>220</v>
      </c>
      <c r="B460" s="16">
        <v>44621</v>
      </c>
      <c r="C460">
        <v>44622</v>
      </c>
      <c r="D460" t="s">
        <v>90</v>
      </c>
      <c r="E460">
        <v>2920</v>
      </c>
      <c r="F460">
        <v>217</v>
      </c>
      <c r="G460">
        <v>206</v>
      </c>
      <c r="H460">
        <v>170</v>
      </c>
      <c r="I460">
        <v>141</v>
      </c>
      <c r="J460">
        <v>13</v>
      </c>
      <c r="K460">
        <v>27</v>
      </c>
      <c r="L460">
        <v>23</v>
      </c>
      <c r="M460">
        <v>19</v>
      </c>
      <c r="N460">
        <v>13</v>
      </c>
      <c r="O460">
        <v>100</v>
      </c>
      <c r="P460">
        <v>88</v>
      </c>
      <c r="Q460">
        <v>88</v>
      </c>
      <c r="R460">
        <v>87</v>
      </c>
      <c r="S460">
        <v>340</v>
      </c>
      <c r="T460">
        <v>190</v>
      </c>
      <c r="U460">
        <v>150</v>
      </c>
      <c r="V460">
        <v>38</v>
      </c>
      <c r="W460">
        <v>82</v>
      </c>
      <c r="X460">
        <v>41</v>
      </c>
      <c r="Y460">
        <v>120</v>
      </c>
      <c r="Z460">
        <v>52</v>
      </c>
      <c r="AA460">
        <v>3</v>
      </c>
      <c r="AB460" t="s">
        <v>91</v>
      </c>
      <c r="AC460" t="s">
        <v>173</v>
      </c>
      <c r="AD460" t="s">
        <v>172</v>
      </c>
    </row>
    <row r="461" spans="1:30">
      <c r="A461" t="s">
        <v>220</v>
      </c>
      <c r="B461" s="16">
        <v>44621</v>
      </c>
      <c r="C461">
        <v>44622</v>
      </c>
      <c r="D461" t="s">
        <v>93</v>
      </c>
      <c r="E461">
        <v>2163</v>
      </c>
      <c r="F461">
        <v>206</v>
      </c>
      <c r="G461">
        <v>195</v>
      </c>
      <c r="H461">
        <v>142</v>
      </c>
      <c r="I461">
        <v>62</v>
      </c>
      <c r="J461">
        <v>6</v>
      </c>
      <c r="K461">
        <v>17</v>
      </c>
      <c r="L461">
        <v>13</v>
      </c>
      <c r="M461">
        <v>11</v>
      </c>
      <c r="N461">
        <v>12</v>
      </c>
      <c r="O461">
        <v>152</v>
      </c>
      <c r="P461">
        <v>130</v>
      </c>
      <c r="Q461">
        <v>129</v>
      </c>
      <c r="R461">
        <v>128</v>
      </c>
      <c r="S461">
        <v>372</v>
      </c>
      <c r="T461">
        <v>166</v>
      </c>
      <c r="U461">
        <v>206</v>
      </c>
      <c r="V461">
        <v>62</v>
      </c>
      <c r="W461">
        <v>84</v>
      </c>
      <c r="X461">
        <v>38</v>
      </c>
      <c r="Y461">
        <v>133</v>
      </c>
      <c r="Z461">
        <v>60</v>
      </c>
      <c r="AA461">
        <v>12</v>
      </c>
      <c r="AB461" t="s">
        <v>97</v>
      </c>
      <c r="AC461" t="s">
        <v>179</v>
      </c>
      <c r="AD461" t="s">
        <v>175</v>
      </c>
    </row>
    <row r="462" spans="1:30">
      <c r="A462" t="s">
        <v>220</v>
      </c>
      <c r="B462" s="16">
        <v>44621</v>
      </c>
      <c r="C462">
        <v>44622</v>
      </c>
      <c r="D462" t="s">
        <v>81</v>
      </c>
      <c r="E462">
        <v>2782</v>
      </c>
      <c r="F462">
        <v>213</v>
      </c>
      <c r="G462">
        <v>199</v>
      </c>
      <c r="H462">
        <v>90</v>
      </c>
      <c r="I462">
        <v>160</v>
      </c>
      <c r="J462">
        <v>25</v>
      </c>
      <c r="K462">
        <v>12</v>
      </c>
      <c r="L462">
        <v>9</v>
      </c>
      <c r="M462">
        <v>4</v>
      </c>
      <c r="N462">
        <v>9</v>
      </c>
      <c r="O462">
        <v>98</v>
      </c>
      <c r="P462">
        <v>75</v>
      </c>
      <c r="Q462">
        <v>73</v>
      </c>
      <c r="R462">
        <v>74</v>
      </c>
      <c r="S462">
        <v>341</v>
      </c>
      <c r="T462">
        <v>188</v>
      </c>
      <c r="U462">
        <v>153</v>
      </c>
      <c r="V462">
        <v>72</v>
      </c>
      <c r="W462">
        <v>63</v>
      </c>
      <c r="X462">
        <v>29</v>
      </c>
      <c r="Y462">
        <v>135</v>
      </c>
      <c r="Z462">
        <v>55</v>
      </c>
      <c r="AA462">
        <v>4</v>
      </c>
      <c r="AB462" t="s">
        <v>84</v>
      </c>
      <c r="AC462" t="s">
        <v>166</v>
      </c>
      <c r="AD462" t="s">
        <v>162</v>
      </c>
    </row>
    <row r="463" spans="1:30">
      <c r="A463" t="s">
        <v>220</v>
      </c>
      <c r="B463" s="16">
        <v>44621</v>
      </c>
      <c r="C463">
        <v>44622</v>
      </c>
      <c r="D463" t="s">
        <v>69</v>
      </c>
      <c r="E463">
        <v>7125</v>
      </c>
      <c r="F463">
        <v>497</v>
      </c>
      <c r="G463">
        <v>465</v>
      </c>
      <c r="H463">
        <v>346</v>
      </c>
      <c r="I463">
        <v>140</v>
      </c>
      <c r="J463">
        <v>12</v>
      </c>
      <c r="K463">
        <v>111</v>
      </c>
      <c r="L463">
        <v>92</v>
      </c>
      <c r="M463">
        <v>28</v>
      </c>
      <c r="N463">
        <v>52</v>
      </c>
      <c r="O463">
        <v>455</v>
      </c>
      <c r="P463">
        <v>328</v>
      </c>
      <c r="Q463">
        <v>321</v>
      </c>
      <c r="R463">
        <v>321</v>
      </c>
      <c r="S463">
        <v>1249</v>
      </c>
      <c r="T463">
        <v>792</v>
      </c>
      <c r="U463">
        <v>457</v>
      </c>
      <c r="V463">
        <v>245</v>
      </c>
      <c r="W463">
        <v>324</v>
      </c>
      <c r="X463">
        <v>159</v>
      </c>
      <c r="Y463">
        <v>517</v>
      </c>
      <c r="Z463">
        <v>171</v>
      </c>
      <c r="AA463">
        <v>15</v>
      </c>
      <c r="AB463" t="s">
        <v>74</v>
      </c>
      <c r="AC463" t="s">
        <v>154</v>
      </c>
      <c r="AD463" t="s">
        <v>150</v>
      </c>
    </row>
    <row r="464" spans="1:30">
      <c r="A464" t="s">
        <v>220</v>
      </c>
      <c r="B464" s="16">
        <v>44621</v>
      </c>
      <c r="C464">
        <v>44622</v>
      </c>
      <c r="D464" t="s">
        <v>65</v>
      </c>
      <c r="E464">
        <v>4837</v>
      </c>
      <c r="F464">
        <v>414</v>
      </c>
      <c r="G464">
        <v>388</v>
      </c>
      <c r="H464">
        <v>168</v>
      </c>
      <c r="I464">
        <v>272</v>
      </c>
      <c r="J464">
        <v>24</v>
      </c>
      <c r="K464">
        <v>76</v>
      </c>
      <c r="L464">
        <v>34</v>
      </c>
      <c r="M464">
        <v>17</v>
      </c>
      <c r="N464">
        <v>20</v>
      </c>
      <c r="O464">
        <v>315</v>
      </c>
      <c r="P464">
        <v>144</v>
      </c>
      <c r="Q464">
        <v>134</v>
      </c>
      <c r="R464">
        <v>129</v>
      </c>
      <c r="S464">
        <v>706</v>
      </c>
      <c r="T464">
        <v>255</v>
      </c>
      <c r="U464">
        <v>451</v>
      </c>
      <c r="V464">
        <v>53</v>
      </c>
      <c r="W464">
        <v>163</v>
      </c>
      <c r="X464">
        <v>86</v>
      </c>
      <c r="Y464">
        <v>260</v>
      </c>
      <c r="Z464">
        <v>97</v>
      </c>
      <c r="AA464">
        <v>10</v>
      </c>
      <c r="AB464" t="s">
        <v>67</v>
      </c>
      <c r="AC464" t="s">
        <v>148</v>
      </c>
      <c r="AD464" t="s">
        <v>145</v>
      </c>
    </row>
    <row r="465" spans="1:30">
      <c r="A465" t="s">
        <v>220</v>
      </c>
      <c r="B465" s="16">
        <v>44652</v>
      </c>
      <c r="C465">
        <v>44664</v>
      </c>
      <c r="D465" t="s">
        <v>94</v>
      </c>
      <c r="E465">
        <v>6202</v>
      </c>
      <c r="F465">
        <v>553</v>
      </c>
      <c r="G465">
        <v>523</v>
      </c>
      <c r="H465">
        <v>363</v>
      </c>
      <c r="I465">
        <v>360</v>
      </c>
      <c r="J465">
        <v>45</v>
      </c>
      <c r="K465">
        <v>83</v>
      </c>
      <c r="L465">
        <v>36</v>
      </c>
      <c r="M465">
        <v>33</v>
      </c>
      <c r="N465">
        <v>25</v>
      </c>
      <c r="O465">
        <v>370</v>
      </c>
      <c r="P465">
        <v>252</v>
      </c>
      <c r="Q465">
        <v>232</v>
      </c>
      <c r="R465">
        <v>237</v>
      </c>
      <c r="S465">
        <v>895</v>
      </c>
      <c r="T465">
        <v>477</v>
      </c>
      <c r="U465">
        <v>418</v>
      </c>
      <c r="V465">
        <v>141</v>
      </c>
      <c r="W465">
        <v>232</v>
      </c>
      <c r="X465">
        <v>111</v>
      </c>
      <c r="Y465">
        <v>326</v>
      </c>
      <c r="Z465">
        <v>145</v>
      </c>
      <c r="AA465">
        <v>30</v>
      </c>
      <c r="AB465" t="s">
        <v>97</v>
      </c>
      <c r="AC465" t="s">
        <v>179</v>
      </c>
      <c r="AD465" t="s">
        <v>176</v>
      </c>
    </row>
    <row r="466" spans="1:30">
      <c r="A466" t="s">
        <v>220</v>
      </c>
      <c r="B466" s="16">
        <v>44652</v>
      </c>
      <c r="C466">
        <v>44664</v>
      </c>
      <c r="D466" t="s">
        <v>61</v>
      </c>
      <c r="E466">
        <v>7294</v>
      </c>
      <c r="F466">
        <v>362</v>
      </c>
      <c r="G466">
        <v>333</v>
      </c>
      <c r="H466">
        <v>194</v>
      </c>
      <c r="I466">
        <v>231</v>
      </c>
      <c r="J466">
        <v>40</v>
      </c>
      <c r="K466">
        <v>104</v>
      </c>
      <c r="L466">
        <v>81</v>
      </c>
      <c r="M466">
        <v>13</v>
      </c>
      <c r="N466">
        <v>61</v>
      </c>
      <c r="O466">
        <v>386</v>
      </c>
      <c r="P466">
        <v>192</v>
      </c>
      <c r="Q466">
        <v>178</v>
      </c>
      <c r="R466">
        <v>182</v>
      </c>
      <c r="S466">
        <v>807</v>
      </c>
      <c r="T466">
        <v>427</v>
      </c>
      <c r="U466">
        <v>380</v>
      </c>
      <c r="V466">
        <v>107</v>
      </c>
      <c r="W466">
        <v>156</v>
      </c>
      <c r="X466">
        <v>83</v>
      </c>
      <c r="Y466">
        <v>269</v>
      </c>
      <c r="Z466">
        <v>143</v>
      </c>
      <c r="AA466">
        <v>10</v>
      </c>
      <c r="AB466" t="s">
        <v>67</v>
      </c>
      <c r="AC466" t="s">
        <v>148</v>
      </c>
      <c r="AD466" t="s">
        <v>143</v>
      </c>
    </row>
    <row r="467" spans="1:30">
      <c r="A467" t="s">
        <v>220</v>
      </c>
      <c r="B467" s="16">
        <v>44652</v>
      </c>
      <c r="C467">
        <v>44664</v>
      </c>
      <c r="D467" t="s">
        <v>98</v>
      </c>
      <c r="E467">
        <v>5360</v>
      </c>
      <c r="F467">
        <v>445</v>
      </c>
      <c r="G467">
        <v>423</v>
      </c>
      <c r="H467">
        <v>303</v>
      </c>
      <c r="I467">
        <v>291</v>
      </c>
      <c r="J467">
        <v>34</v>
      </c>
      <c r="K467">
        <v>55</v>
      </c>
      <c r="L467">
        <v>10</v>
      </c>
      <c r="M467">
        <v>2</v>
      </c>
      <c r="N467">
        <v>6</v>
      </c>
      <c r="O467">
        <v>244</v>
      </c>
      <c r="P467">
        <v>122</v>
      </c>
      <c r="Q467">
        <v>121</v>
      </c>
      <c r="R467">
        <v>120</v>
      </c>
      <c r="S467">
        <v>850</v>
      </c>
      <c r="T467">
        <v>355</v>
      </c>
      <c r="U467">
        <v>495</v>
      </c>
      <c r="V467">
        <v>194</v>
      </c>
      <c r="W467">
        <v>170</v>
      </c>
      <c r="X467">
        <v>107</v>
      </c>
      <c r="Y467">
        <v>284</v>
      </c>
      <c r="Z467">
        <v>128</v>
      </c>
      <c r="AA467">
        <v>20</v>
      </c>
      <c r="AB467" t="s">
        <v>103</v>
      </c>
      <c r="AC467" t="s">
        <v>185</v>
      </c>
      <c r="AD467" t="s">
        <v>180</v>
      </c>
    </row>
    <row r="468" spans="1:30">
      <c r="A468" t="s">
        <v>220</v>
      </c>
      <c r="B468" s="16">
        <v>44652</v>
      </c>
      <c r="C468">
        <v>44664</v>
      </c>
      <c r="D468" t="s">
        <v>75</v>
      </c>
      <c r="E468">
        <v>7813</v>
      </c>
      <c r="F468">
        <v>747</v>
      </c>
      <c r="G468">
        <v>706</v>
      </c>
      <c r="H468">
        <v>558</v>
      </c>
      <c r="I468">
        <v>454</v>
      </c>
      <c r="J468">
        <v>68</v>
      </c>
      <c r="K468">
        <v>93</v>
      </c>
      <c r="L468">
        <v>85</v>
      </c>
      <c r="M468">
        <v>67</v>
      </c>
      <c r="N468">
        <v>74</v>
      </c>
      <c r="O468">
        <v>325</v>
      </c>
      <c r="P468">
        <v>273</v>
      </c>
      <c r="Q468">
        <v>264</v>
      </c>
      <c r="R468">
        <v>264</v>
      </c>
      <c r="S468">
        <v>1139</v>
      </c>
      <c r="T468">
        <v>593</v>
      </c>
      <c r="U468">
        <v>546</v>
      </c>
      <c r="V468">
        <v>196</v>
      </c>
      <c r="W468">
        <v>359</v>
      </c>
      <c r="X468">
        <v>192</v>
      </c>
      <c r="Y468">
        <v>509</v>
      </c>
      <c r="Z468">
        <v>226</v>
      </c>
      <c r="AA468">
        <v>58</v>
      </c>
      <c r="AB468" t="s">
        <v>77</v>
      </c>
      <c r="AC468" t="s">
        <v>158</v>
      </c>
      <c r="AD468" t="s">
        <v>155</v>
      </c>
    </row>
    <row r="469" spans="1:30">
      <c r="A469" t="s">
        <v>220</v>
      </c>
      <c r="B469" s="16">
        <v>44652</v>
      </c>
      <c r="C469">
        <v>44664</v>
      </c>
      <c r="D469" t="s">
        <v>99</v>
      </c>
      <c r="E469">
        <v>6306</v>
      </c>
      <c r="F469">
        <v>556</v>
      </c>
      <c r="G469">
        <v>538</v>
      </c>
      <c r="H469">
        <v>489</v>
      </c>
      <c r="I469">
        <v>454</v>
      </c>
      <c r="J469">
        <v>141</v>
      </c>
      <c r="K469">
        <v>38</v>
      </c>
      <c r="L469">
        <v>34</v>
      </c>
      <c r="M469">
        <v>29</v>
      </c>
      <c r="N469">
        <v>33</v>
      </c>
      <c r="O469">
        <v>357</v>
      </c>
      <c r="P469">
        <v>309</v>
      </c>
      <c r="Q469">
        <v>305</v>
      </c>
      <c r="R469">
        <v>302</v>
      </c>
      <c r="S469">
        <v>739</v>
      </c>
      <c r="T469">
        <v>544</v>
      </c>
      <c r="U469">
        <v>195</v>
      </c>
      <c r="V469">
        <v>89</v>
      </c>
      <c r="W469">
        <v>199</v>
      </c>
      <c r="X469">
        <v>131</v>
      </c>
      <c r="Y469">
        <v>329</v>
      </c>
      <c r="Z469">
        <v>156</v>
      </c>
      <c r="AA469">
        <v>21</v>
      </c>
      <c r="AB469" t="s">
        <v>103</v>
      </c>
      <c r="AC469" t="s">
        <v>185</v>
      </c>
      <c r="AD469" t="s">
        <v>221</v>
      </c>
    </row>
    <row r="470" spans="1:30">
      <c r="A470" t="s">
        <v>220</v>
      </c>
      <c r="B470" s="16">
        <v>44652</v>
      </c>
      <c r="C470">
        <v>44664</v>
      </c>
      <c r="D470" t="s">
        <v>78</v>
      </c>
      <c r="E470">
        <v>11555</v>
      </c>
      <c r="F470">
        <v>787</v>
      </c>
      <c r="G470">
        <v>727</v>
      </c>
      <c r="H470">
        <v>547</v>
      </c>
      <c r="I470">
        <v>524</v>
      </c>
      <c r="J470">
        <v>80</v>
      </c>
      <c r="K470">
        <v>105</v>
      </c>
      <c r="L470">
        <v>92</v>
      </c>
      <c r="M470">
        <v>89</v>
      </c>
      <c r="N470">
        <v>89</v>
      </c>
      <c r="O470">
        <v>614</v>
      </c>
      <c r="P470">
        <v>413</v>
      </c>
      <c r="Q470">
        <v>410</v>
      </c>
      <c r="R470">
        <v>407</v>
      </c>
      <c r="S470">
        <v>1418</v>
      </c>
      <c r="T470">
        <v>705</v>
      </c>
      <c r="U470">
        <v>713</v>
      </c>
      <c r="V470">
        <v>140</v>
      </c>
      <c r="W470">
        <v>359</v>
      </c>
      <c r="X470">
        <v>175</v>
      </c>
      <c r="Y470">
        <v>555</v>
      </c>
      <c r="Z470">
        <v>218</v>
      </c>
      <c r="AA470">
        <v>4</v>
      </c>
      <c r="AB470" t="s">
        <v>84</v>
      </c>
      <c r="AC470" t="s">
        <v>166</v>
      </c>
      <c r="AD470" t="s">
        <v>159</v>
      </c>
    </row>
    <row r="471" spans="1:30">
      <c r="A471" t="s">
        <v>220</v>
      </c>
      <c r="B471" s="16">
        <v>44652</v>
      </c>
      <c r="C471">
        <v>44664</v>
      </c>
      <c r="D471" t="s">
        <v>76</v>
      </c>
      <c r="E471">
        <v>8209</v>
      </c>
      <c r="F471">
        <v>797</v>
      </c>
      <c r="G471">
        <v>767</v>
      </c>
      <c r="H471">
        <v>698</v>
      </c>
      <c r="I471">
        <v>525</v>
      </c>
      <c r="J471">
        <v>110</v>
      </c>
      <c r="K471">
        <v>46</v>
      </c>
      <c r="L471">
        <v>43</v>
      </c>
      <c r="M471">
        <v>37</v>
      </c>
      <c r="N471">
        <v>43</v>
      </c>
      <c r="O471">
        <v>457</v>
      </c>
      <c r="P471">
        <v>392</v>
      </c>
      <c r="Q471">
        <v>385</v>
      </c>
      <c r="R471">
        <v>376</v>
      </c>
      <c r="S471">
        <v>1067</v>
      </c>
      <c r="T471">
        <v>685</v>
      </c>
      <c r="U471">
        <v>382</v>
      </c>
      <c r="V471">
        <v>150</v>
      </c>
      <c r="W471">
        <v>346</v>
      </c>
      <c r="X471">
        <v>200</v>
      </c>
      <c r="Y471">
        <v>445</v>
      </c>
      <c r="Z471">
        <v>171</v>
      </c>
      <c r="AA471">
        <v>60</v>
      </c>
      <c r="AB471" t="s">
        <v>77</v>
      </c>
      <c r="AC471" t="s">
        <v>158</v>
      </c>
      <c r="AD471" t="s">
        <v>156</v>
      </c>
    </row>
    <row r="472" spans="1:30">
      <c r="A472" t="s">
        <v>220</v>
      </c>
      <c r="B472" s="16">
        <v>44652</v>
      </c>
      <c r="C472">
        <v>44664</v>
      </c>
      <c r="D472" t="s">
        <v>79</v>
      </c>
      <c r="E472">
        <v>8734</v>
      </c>
      <c r="F472">
        <v>430</v>
      </c>
      <c r="G472">
        <v>393</v>
      </c>
      <c r="H472">
        <v>325</v>
      </c>
      <c r="I472">
        <v>248</v>
      </c>
      <c r="J472">
        <v>33</v>
      </c>
      <c r="K472">
        <v>35</v>
      </c>
      <c r="L472">
        <v>29</v>
      </c>
      <c r="M472">
        <v>23</v>
      </c>
      <c r="N472">
        <v>28</v>
      </c>
      <c r="O472">
        <v>330</v>
      </c>
      <c r="P472">
        <v>281</v>
      </c>
      <c r="Q472">
        <v>278</v>
      </c>
      <c r="R472">
        <v>280</v>
      </c>
      <c r="S472">
        <v>764</v>
      </c>
      <c r="T472">
        <v>391</v>
      </c>
      <c r="U472">
        <v>373</v>
      </c>
      <c r="V472">
        <v>78</v>
      </c>
      <c r="W472">
        <v>150</v>
      </c>
      <c r="X472">
        <v>86</v>
      </c>
      <c r="Y472">
        <v>276</v>
      </c>
      <c r="Z472">
        <v>143</v>
      </c>
      <c r="AA472">
        <v>3</v>
      </c>
      <c r="AB472" t="s">
        <v>84</v>
      </c>
      <c r="AC472" t="s">
        <v>166</v>
      </c>
      <c r="AD472" t="s">
        <v>160</v>
      </c>
    </row>
    <row r="473" spans="1:30">
      <c r="A473" t="s">
        <v>220</v>
      </c>
      <c r="B473" s="16">
        <v>44652</v>
      </c>
      <c r="C473">
        <v>44664</v>
      </c>
      <c r="D473" t="s">
        <v>86</v>
      </c>
      <c r="E473">
        <v>1693</v>
      </c>
      <c r="F473">
        <v>135</v>
      </c>
      <c r="G473">
        <v>131</v>
      </c>
      <c r="H473">
        <v>115</v>
      </c>
      <c r="I473">
        <v>102</v>
      </c>
      <c r="J473">
        <v>25</v>
      </c>
      <c r="K473">
        <v>20</v>
      </c>
      <c r="L473">
        <v>19</v>
      </c>
      <c r="M473">
        <v>17</v>
      </c>
      <c r="N473">
        <v>8</v>
      </c>
      <c r="O473">
        <v>83</v>
      </c>
      <c r="P473">
        <v>62</v>
      </c>
      <c r="Q473">
        <v>62</v>
      </c>
      <c r="R473">
        <v>62</v>
      </c>
      <c r="S473">
        <v>261</v>
      </c>
      <c r="T473">
        <v>139</v>
      </c>
      <c r="U473">
        <v>122</v>
      </c>
      <c r="V473">
        <v>17</v>
      </c>
      <c r="W473">
        <v>69</v>
      </c>
      <c r="X473">
        <v>32</v>
      </c>
      <c r="Y473">
        <v>79</v>
      </c>
      <c r="Z473">
        <v>25</v>
      </c>
      <c r="AA473">
        <v>5</v>
      </c>
      <c r="AB473" t="s">
        <v>91</v>
      </c>
      <c r="AC473" t="s">
        <v>173</v>
      </c>
      <c r="AD473" t="s">
        <v>168</v>
      </c>
    </row>
    <row r="474" spans="1:30">
      <c r="A474" t="s">
        <v>220</v>
      </c>
      <c r="B474" s="16">
        <v>44652</v>
      </c>
      <c r="C474">
        <v>44664</v>
      </c>
      <c r="D474" t="s">
        <v>102</v>
      </c>
      <c r="E474">
        <v>12833</v>
      </c>
      <c r="F474">
        <v>774</v>
      </c>
      <c r="G474">
        <v>717</v>
      </c>
      <c r="H474">
        <v>537</v>
      </c>
      <c r="I474">
        <v>573</v>
      </c>
      <c r="J474">
        <v>91</v>
      </c>
      <c r="K474">
        <v>107</v>
      </c>
      <c r="L474">
        <v>83</v>
      </c>
      <c r="M474">
        <v>68</v>
      </c>
      <c r="N474">
        <v>77</v>
      </c>
      <c r="O474">
        <v>565</v>
      </c>
      <c r="P474">
        <v>268</v>
      </c>
      <c r="Q474">
        <v>255</v>
      </c>
      <c r="R474">
        <v>257</v>
      </c>
      <c r="S474">
        <v>1473</v>
      </c>
      <c r="T474">
        <v>918</v>
      </c>
      <c r="U474">
        <v>555</v>
      </c>
      <c r="V474">
        <v>197</v>
      </c>
      <c r="W474">
        <v>320</v>
      </c>
      <c r="X474">
        <v>176</v>
      </c>
      <c r="Y474">
        <v>502</v>
      </c>
      <c r="Z474">
        <v>253</v>
      </c>
      <c r="AA474">
        <v>22</v>
      </c>
      <c r="AB474" t="s">
        <v>103</v>
      </c>
      <c r="AC474" t="s">
        <v>185</v>
      </c>
      <c r="AD474" t="s">
        <v>184</v>
      </c>
    </row>
    <row r="475" spans="1:30">
      <c r="A475" t="s">
        <v>220</v>
      </c>
      <c r="B475" s="16">
        <v>44652</v>
      </c>
      <c r="C475">
        <v>44664</v>
      </c>
      <c r="D475" t="s">
        <v>100</v>
      </c>
      <c r="E475">
        <v>5695</v>
      </c>
      <c r="F475">
        <v>452</v>
      </c>
      <c r="G475">
        <v>425</v>
      </c>
      <c r="H475">
        <v>189</v>
      </c>
      <c r="I475">
        <v>328</v>
      </c>
      <c r="J475">
        <v>33</v>
      </c>
      <c r="K475">
        <v>61</v>
      </c>
      <c r="L475">
        <v>44</v>
      </c>
      <c r="M475">
        <v>16</v>
      </c>
      <c r="N475">
        <v>36</v>
      </c>
      <c r="O475">
        <v>271</v>
      </c>
      <c r="P475">
        <v>127</v>
      </c>
      <c r="Q475">
        <v>107</v>
      </c>
      <c r="R475">
        <v>112</v>
      </c>
      <c r="S475">
        <v>804</v>
      </c>
      <c r="T475">
        <v>332</v>
      </c>
      <c r="U475">
        <v>472</v>
      </c>
      <c r="V475">
        <v>94</v>
      </c>
      <c r="W475">
        <v>194</v>
      </c>
      <c r="X475">
        <v>115</v>
      </c>
      <c r="Y475">
        <v>284</v>
      </c>
      <c r="Z475">
        <v>146</v>
      </c>
      <c r="AA475">
        <v>42</v>
      </c>
      <c r="AB475" t="s">
        <v>103</v>
      </c>
      <c r="AC475" t="s">
        <v>185</v>
      </c>
      <c r="AD475" t="s">
        <v>182</v>
      </c>
    </row>
    <row r="476" spans="1:30">
      <c r="A476" t="s">
        <v>220</v>
      </c>
      <c r="B476" s="16">
        <v>44652</v>
      </c>
      <c r="C476">
        <v>44664</v>
      </c>
      <c r="D476" t="s">
        <v>71</v>
      </c>
      <c r="E476">
        <v>5687</v>
      </c>
      <c r="F476">
        <v>341</v>
      </c>
      <c r="G476">
        <v>315</v>
      </c>
      <c r="H476">
        <v>157</v>
      </c>
      <c r="I476">
        <v>141</v>
      </c>
      <c r="J476">
        <v>12</v>
      </c>
      <c r="K476">
        <v>74</v>
      </c>
      <c r="L476">
        <v>34</v>
      </c>
      <c r="M476">
        <v>2</v>
      </c>
      <c r="N476">
        <v>27</v>
      </c>
      <c r="O476">
        <v>326</v>
      </c>
      <c r="P476">
        <v>201</v>
      </c>
      <c r="Q476">
        <v>200</v>
      </c>
      <c r="R476">
        <v>200</v>
      </c>
      <c r="S476">
        <v>1077</v>
      </c>
      <c r="T476">
        <v>452</v>
      </c>
      <c r="U476">
        <v>625</v>
      </c>
      <c r="V476">
        <v>64</v>
      </c>
      <c r="W476">
        <v>287</v>
      </c>
      <c r="X476">
        <v>128</v>
      </c>
      <c r="Y476">
        <v>488</v>
      </c>
      <c r="Z476">
        <v>291</v>
      </c>
      <c r="AA476">
        <v>10</v>
      </c>
      <c r="AB476" t="s">
        <v>74</v>
      </c>
      <c r="AC476" t="s">
        <v>154</v>
      </c>
      <c r="AD476" t="s">
        <v>152</v>
      </c>
    </row>
    <row r="477" spans="1:30">
      <c r="A477" t="s">
        <v>220</v>
      </c>
      <c r="B477" s="16">
        <v>44652</v>
      </c>
      <c r="C477">
        <v>44664</v>
      </c>
      <c r="D477" t="s">
        <v>95</v>
      </c>
      <c r="E477">
        <v>4578</v>
      </c>
      <c r="F477">
        <v>321</v>
      </c>
      <c r="G477">
        <v>309</v>
      </c>
      <c r="H477">
        <v>183</v>
      </c>
      <c r="I477">
        <v>110</v>
      </c>
      <c r="J477">
        <v>9</v>
      </c>
      <c r="K477">
        <v>30</v>
      </c>
      <c r="L477">
        <v>18</v>
      </c>
      <c r="M477">
        <v>5</v>
      </c>
      <c r="N477">
        <v>14</v>
      </c>
      <c r="O477">
        <v>204</v>
      </c>
      <c r="P477">
        <v>118</v>
      </c>
      <c r="Q477">
        <v>116</v>
      </c>
      <c r="R477">
        <v>116</v>
      </c>
      <c r="S477">
        <v>500</v>
      </c>
      <c r="T477">
        <v>222</v>
      </c>
      <c r="U477">
        <v>278</v>
      </c>
      <c r="V477">
        <v>39</v>
      </c>
      <c r="W477">
        <v>133</v>
      </c>
      <c r="X477">
        <v>75</v>
      </c>
      <c r="Y477">
        <v>188</v>
      </c>
      <c r="Z477">
        <v>89</v>
      </c>
      <c r="AA477">
        <v>7</v>
      </c>
      <c r="AB477" t="s">
        <v>97</v>
      </c>
      <c r="AC477" t="s">
        <v>179</v>
      </c>
      <c r="AD477" t="s">
        <v>177</v>
      </c>
    </row>
    <row r="478" spans="1:30">
      <c r="A478" t="s">
        <v>220</v>
      </c>
      <c r="B478" s="16">
        <v>44652</v>
      </c>
      <c r="C478">
        <v>44664</v>
      </c>
      <c r="D478" t="s">
        <v>83</v>
      </c>
      <c r="E478">
        <v>4175</v>
      </c>
      <c r="F478">
        <v>372</v>
      </c>
      <c r="G478">
        <v>356</v>
      </c>
      <c r="H478">
        <v>179</v>
      </c>
      <c r="I478">
        <v>141</v>
      </c>
      <c r="J478">
        <v>24</v>
      </c>
      <c r="K478">
        <v>36</v>
      </c>
      <c r="L478">
        <v>21</v>
      </c>
      <c r="M478">
        <v>0</v>
      </c>
      <c r="N478">
        <v>18</v>
      </c>
      <c r="O478">
        <v>230</v>
      </c>
      <c r="P478">
        <v>202</v>
      </c>
      <c r="Q478">
        <v>197</v>
      </c>
      <c r="R478">
        <v>197</v>
      </c>
      <c r="S478">
        <v>677</v>
      </c>
      <c r="T478">
        <v>322</v>
      </c>
      <c r="U478">
        <v>355</v>
      </c>
      <c r="V478">
        <v>55</v>
      </c>
      <c r="W478">
        <v>132</v>
      </c>
      <c r="X478">
        <v>68</v>
      </c>
      <c r="Y478">
        <v>210</v>
      </c>
      <c r="Z478">
        <v>114</v>
      </c>
      <c r="AA478">
        <v>1</v>
      </c>
      <c r="AB478" t="s">
        <v>84</v>
      </c>
      <c r="AC478" t="s">
        <v>166</v>
      </c>
      <c r="AD478" t="s">
        <v>164</v>
      </c>
    </row>
    <row r="479" spans="1:30">
      <c r="A479" t="s">
        <v>220</v>
      </c>
      <c r="B479" s="16">
        <v>44652</v>
      </c>
      <c r="C479">
        <v>44664</v>
      </c>
      <c r="D479" t="s">
        <v>92</v>
      </c>
      <c r="E479">
        <v>11854</v>
      </c>
      <c r="F479">
        <v>692</v>
      </c>
      <c r="G479">
        <v>655</v>
      </c>
      <c r="H479">
        <v>476</v>
      </c>
      <c r="I479">
        <v>231</v>
      </c>
      <c r="J479">
        <v>24</v>
      </c>
      <c r="K479">
        <v>88</v>
      </c>
      <c r="L479">
        <v>72</v>
      </c>
      <c r="M479">
        <v>49</v>
      </c>
      <c r="N479">
        <v>62</v>
      </c>
      <c r="O479">
        <v>713</v>
      </c>
      <c r="P479">
        <v>474</v>
      </c>
      <c r="Q479">
        <v>462</v>
      </c>
      <c r="R479">
        <v>473</v>
      </c>
      <c r="S479">
        <v>1311</v>
      </c>
      <c r="T479">
        <v>653</v>
      </c>
      <c r="U479">
        <v>658</v>
      </c>
      <c r="V479">
        <v>234</v>
      </c>
      <c r="W479">
        <v>316</v>
      </c>
      <c r="X479">
        <v>159</v>
      </c>
      <c r="Y479">
        <v>448</v>
      </c>
      <c r="Z479">
        <v>207</v>
      </c>
      <c r="AA479">
        <v>8</v>
      </c>
      <c r="AB479" t="s">
        <v>97</v>
      </c>
      <c r="AC479" t="s">
        <v>179</v>
      </c>
      <c r="AD479" t="s">
        <v>174</v>
      </c>
    </row>
    <row r="480" spans="1:30">
      <c r="A480" t="s">
        <v>220</v>
      </c>
      <c r="B480" s="16">
        <v>44652</v>
      </c>
      <c r="C480">
        <v>44664</v>
      </c>
      <c r="D480" t="s">
        <v>72</v>
      </c>
      <c r="E480">
        <v>6045</v>
      </c>
      <c r="F480">
        <v>380</v>
      </c>
      <c r="G480">
        <v>354</v>
      </c>
      <c r="H480">
        <v>319</v>
      </c>
      <c r="I480">
        <v>125</v>
      </c>
      <c r="J480">
        <v>34</v>
      </c>
      <c r="K480">
        <v>68</v>
      </c>
      <c r="L480">
        <v>42</v>
      </c>
      <c r="M480">
        <v>24</v>
      </c>
      <c r="N480">
        <v>10</v>
      </c>
      <c r="O480">
        <v>405</v>
      </c>
      <c r="P480">
        <v>273</v>
      </c>
      <c r="Q480">
        <v>266</v>
      </c>
      <c r="R480">
        <v>264</v>
      </c>
      <c r="S480">
        <v>846</v>
      </c>
      <c r="T480">
        <v>630</v>
      </c>
      <c r="U480">
        <v>216</v>
      </c>
      <c r="V480">
        <v>113</v>
      </c>
      <c r="W480">
        <v>241</v>
      </c>
      <c r="X480">
        <v>118</v>
      </c>
      <c r="Y480">
        <v>400</v>
      </c>
      <c r="Z480">
        <v>208</v>
      </c>
      <c r="AA480">
        <v>21</v>
      </c>
      <c r="AB480" t="s">
        <v>74</v>
      </c>
      <c r="AC480" t="s">
        <v>154</v>
      </c>
      <c r="AD480" t="s">
        <v>153</v>
      </c>
    </row>
    <row r="481" spans="1:30">
      <c r="A481" t="s">
        <v>220</v>
      </c>
      <c r="B481" s="16">
        <v>44652</v>
      </c>
      <c r="C481">
        <v>44664</v>
      </c>
      <c r="D481" t="s">
        <v>85</v>
      </c>
      <c r="E481">
        <v>5335</v>
      </c>
      <c r="F481">
        <v>322</v>
      </c>
      <c r="G481">
        <v>304</v>
      </c>
      <c r="H481">
        <v>208</v>
      </c>
      <c r="I481">
        <v>246</v>
      </c>
      <c r="J481">
        <v>53</v>
      </c>
      <c r="K481">
        <v>28</v>
      </c>
      <c r="L481">
        <v>24</v>
      </c>
      <c r="M481">
        <v>20</v>
      </c>
      <c r="N481">
        <v>24</v>
      </c>
      <c r="O481">
        <v>257</v>
      </c>
      <c r="P481">
        <v>160</v>
      </c>
      <c r="Q481">
        <v>159</v>
      </c>
      <c r="R481">
        <v>158</v>
      </c>
      <c r="S481">
        <v>596</v>
      </c>
      <c r="T481">
        <v>291</v>
      </c>
      <c r="U481">
        <v>305</v>
      </c>
      <c r="V481">
        <v>48</v>
      </c>
      <c r="W481">
        <v>158</v>
      </c>
      <c r="X481">
        <v>70</v>
      </c>
      <c r="Y481">
        <v>278</v>
      </c>
      <c r="Z481">
        <v>124</v>
      </c>
      <c r="AA481">
        <v>19</v>
      </c>
      <c r="AB481" t="s">
        <v>91</v>
      </c>
      <c r="AC481" t="s">
        <v>173</v>
      </c>
      <c r="AD481" t="s">
        <v>167</v>
      </c>
    </row>
    <row r="482" spans="1:30">
      <c r="A482" t="s">
        <v>220</v>
      </c>
      <c r="B482" s="16">
        <v>44652</v>
      </c>
      <c r="C482">
        <v>44664</v>
      </c>
      <c r="D482" t="s">
        <v>88</v>
      </c>
      <c r="E482">
        <v>4678</v>
      </c>
      <c r="F482">
        <v>431</v>
      </c>
      <c r="G482">
        <v>409</v>
      </c>
      <c r="H482">
        <v>289</v>
      </c>
      <c r="I482">
        <v>262</v>
      </c>
      <c r="J482">
        <v>43</v>
      </c>
      <c r="K482">
        <v>50</v>
      </c>
      <c r="L482">
        <v>41</v>
      </c>
      <c r="M482">
        <v>21</v>
      </c>
      <c r="N482">
        <v>33</v>
      </c>
      <c r="O482">
        <v>234</v>
      </c>
      <c r="P482">
        <v>154</v>
      </c>
      <c r="Q482">
        <v>147</v>
      </c>
      <c r="R482">
        <v>152</v>
      </c>
      <c r="S482">
        <v>685</v>
      </c>
      <c r="T482">
        <v>336</v>
      </c>
      <c r="U482">
        <v>349</v>
      </c>
      <c r="V482">
        <v>156</v>
      </c>
      <c r="W482">
        <v>201</v>
      </c>
      <c r="X482">
        <v>92</v>
      </c>
      <c r="Y482">
        <v>282</v>
      </c>
      <c r="Z482">
        <v>137</v>
      </c>
      <c r="AA482">
        <v>14</v>
      </c>
      <c r="AB482" t="s">
        <v>91</v>
      </c>
      <c r="AC482" t="s">
        <v>173</v>
      </c>
      <c r="AD482" t="s">
        <v>170</v>
      </c>
    </row>
    <row r="483" spans="1:30">
      <c r="A483" t="s">
        <v>220</v>
      </c>
      <c r="B483" s="16">
        <v>44652</v>
      </c>
      <c r="C483">
        <v>44664</v>
      </c>
      <c r="D483" t="s">
        <v>64</v>
      </c>
      <c r="E483">
        <v>5457</v>
      </c>
      <c r="F483">
        <v>310</v>
      </c>
      <c r="G483">
        <v>297</v>
      </c>
      <c r="H483">
        <v>161</v>
      </c>
      <c r="I483">
        <v>220</v>
      </c>
      <c r="J483">
        <v>20</v>
      </c>
      <c r="K483">
        <v>26</v>
      </c>
      <c r="L483">
        <v>8</v>
      </c>
      <c r="M483">
        <v>1</v>
      </c>
      <c r="N483">
        <v>4</v>
      </c>
      <c r="O483">
        <v>199</v>
      </c>
      <c r="P483">
        <v>135</v>
      </c>
      <c r="Q483">
        <v>121</v>
      </c>
      <c r="R483">
        <v>113</v>
      </c>
      <c r="S483">
        <v>544</v>
      </c>
      <c r="T483">
        <v>236</v>
      </c>
      <c r="U483">
        <v>308</v>
      </c>
      <c r="V483">
        <v>58</v>
      </c>
      <c r="W483">
        <v>113</v>
      </c>
      <c r="X483">
        <v>54</v>
      </c>
      <c r="Y483">
        <v>179</v>
      </c>
      <c r="Z483">
        <v>100</v>
      </c>
      <c r="AA483">
        <v>5</v>
      </c>
      <c r="AB483" t="s">
        <v>67</v>
      </c>
      <c r="AC483" t="s">
        <v>148</v>
      </c>
      <c r="AD483" t="s">
        <v>144</v>
      </c>
    </row>
    <row r="484" spans="1:30">
      <c r="A484" t="s">
        <v>220</v>
      </c>
      <c r="B484" s="16">
        <v>44652</v>
      </c>
      <c r="C484">
        <v>44664</v>
      </c>
      <c r="D484" t="s">
        <v>70</v>
      </c>
      <c r="E484">
        <v>10588</v>
      </c>
      <c r="F484">
        <v>818</v>
      </c>
      <c r="G484">
        <v>768</v>
      </c>
      <c r="H484">
        <v>497</v>
      </c>
      <c r="I484">
        <v>222</v>
      </c>
      <c r="J484">
        <v>24</v>
      </c>
      <c r="K484">
        <v>223</v>
      </c>
      <c r="L484">
        <v>190</v>
      </c>
      <c r="M484">
        <v>72</v>
      </c>
      <c r="N484">
        <v>137</v>
      </c>
      <c r="O484">
        <v>714</v>
      </c>
      <c r="P484">
        <v>537</v>
      </c>
      <c r="Q484">
        <v>521</v>
      </c>
      <c r="R484">
        <v>529</v>
      </c>
      <c r="S484">
        <v>1831</v>
      </c>
      <c r="T484">
        <v>1046</v>
      </c>
      <c r="U484">
        <v>785</v>
      </c>
      <c r="V484">
        <v>348</v>
      </c>
      <c r="W484">
        <v>577</v>
      </c>
      <c r="X484">
        <v>257</v>
      </c>
      <c r="Y484">
        <v>825</v>
      </c>
      <c r="Z484">
        <v>373</v>
      </c>
      <c r="AA484">
        <v>94</v>
      </c>
      <c r="AB484" t="s">
        <v>74</v>
      </c>
      <c r="AC484" t="s">
        <v>154</v>
      </c>
      <c r="AD484" t="s">
        <v>151</v>
      </c>
    </row>
    <row r="485" spans="1:30">
      <c r="A485" t="s">
        <v>220</v>
      </c>
      <c r="B485" s="16">
        <v>44652</v>
      </c>
      <c r="C485">
        <v>44664</v>
      </c>
      <c r="D485" t="s">
        <v>96</v>
      </c>
      <c r="E485">
        <v>7066</v>
      </c>
      <c r="F485">
        <v>517</v>
      </c>
      <c r="G485">
        <v>492</v>
      </c>
      <c r="H485">
        <v>285</v>
      </c>
      <c r="I485">
        <v>358</v>
      </c>
      <c r="J485">
        <v>35</v>
      </c>
      <c r="K485">
        <v>88</v>
      </c>
      <c r="L485">
        <v>58</v>
      </c>
      <c r="M485">
        <v>47</v>
      </c>
      <c r="N485">
        <v>55</v>
      </c>
      <c r="O485">
        <v>353</v>
      </c>
      <c r="P485">
        <v>143</v>
      </c>
      <c r="Q485">
        <v>130</v>
      </c>
      <c r="R485">
        <v>130</v>
      </c>
      <c r="S485">
        <v>1096</v>
      </c>
      <c r="T485">
        <v>488</v>
      </c>
      <c r="U485">
        <v>608</v>
      </c>
      <c r="V485">
        <v>126</v>
      </c>
      <c r="W485">
        <v>259</v>
      </c>
      <c r="X485">
        <v>126</v>
      </c>
      <c r="Y485">
        <v>401</v>
      </c>
      <c r="Z485">
        <v>175</v>
      </c>
      <c r="AA485">
        <v>9</v>
      </c>
      <c r="AB485" t="s">
        <v>97</v>
      </c>
      <c r="AC485" t="s">
        <v>179</v>
      </c>
      <c r="AD485" t="s">
        <v>178</v>
      </c>
    </row>
    <row r="486" spans="1:30">
      <c r="A486" t="s">
        <v>220</v>
      </c>
      <c r="B486" s="16">
        <v>44652</v>
      </c>
      <c r="C486">
        <v>44664</v>
      </c>
      <c r="D486" t="s">
        <v>82</v>
      </c>
      <c r="E486">
        <v>6361</v>
      </c>
      <c r="F486">
        <v>514</v>
      </c>
      <c r="G486">
        <v>490</v>
      </c>
      <c r="H486">
        <v>290</v>
      </c>
      <c r="I486">
        <v>359</v>
      </c>
      <c r="J486">
        <v>44</v>
      </c>
      <c r="K486">
        <v>57</v>
      </c>
      <c r="L486">
        <v>44</v>
      </c>
      <c r="M486">
        <v>36</v>
      </c>
      <c r="N486">
        <v>39</v>
      </c>
      <c r="O486">
        <v>324</v>
      </c>
      <c r="P486">
        <v>235</v>
      </c>
      <c r="Q486">
        <v>235</v>
      </c>
      <c r="R486">
        <v>235</v>
      </c>
      <c r="S486">
        <v>688</v>
      </c>
      <c r="T486">
        <v>329</v>
      </c>
      <c r="U486">
        <v>359</v>
      </c>
      <c r="V486">
        <v>94</v>
      </c>
      <c r="W486">
        <v>192</v>
      </c>
      <c r="X486">
        <v>91</v>
      </c>
      <c r="Y486">
        <v>318</v>
      </c>
      <c r="Z486">
        <v>133</v>
      </c>
      <c r="AA486">
        <v>0</v>
      </c>
      <c r="AB486" t="s">
        <v>84</v>
      </c>
      <c r="AC486" t="s">
        <v>166</v>
      </c>
      <c r="AD486" t="s">
        <v>163</v>
      </c>
    </row>
    <row r="487" spans="1:30">
      <c r="A487" t="s">
        <v>220</v>
      </c>
      <c r="B487" s="16">
        <v>44652</v>
      </c>
      <c r="C487">
        <v>44664</v>
      </c>
      <c r="D487" t="s">
        <v>54</v>
      </c>
      <c r="E487">
        <v>6563</v>
      </c>
      <c r="F487">
        <v>424</v>
      </c>
      <c r="G487">
        <v>387</v>
      </c>
      <c r="H487">
        <v>225</v>
      </c>
      <c r="I487">
        <v>277</v>
      </c>
      <c r="J487">
        <v>31</v>
      </c>
      <c r="K487">
        <v>96</v>
      </c>
      <c r="L487">
        <v>82</v>
      </c>
      <c r="M487">
        <v>58</v>
      </c>
      <c r="N487">
        <v>73</v>
      </c>
      <c r="O487">
        <v>332</v>
      </c>
      <c r="P487">
        <v>224</v>
      </c>
      <c r="Q487">
        <v>214</v>
      </c>
      <c r="R487">
        <v>212</v>
      </c>
      <c r="S487">
        <v>876</v>
      </c>
      <c r="T487">
        <v>469</v>
      </c>
      <c r="U487">
        <v>407</v>
      </c>
      <c r="V487">
        <v>23</v>
      </c>
      <c r="W487">
        <v>269</v>
      </c>
      <c r="X487">
        <v>95</v>
      </c>
      <c r="Y487">
        <v>398</v>
      </c>
      <c r="Z487">
        <v>203</v>
      </c>
      <c r="AA487">
        <v>9</v>
      </c>
      <c r="AB487" t="s">
        <v>67</v>
      </c>
      <c r="AC487" t="s">
        <v>148</v>
      </c>
      <c r="AD487" t="s">
        <v>142</v>
      </c>
    </row>
    <row r="488" spans="1:30">
      <c r="A488" t="s">
        <v>220</v>
      </c>
      <c r="B488" s="16">
        <v>44652</v>
      </c>
      <c r="C488">
        <v>44664</v>
      </c>
      <c r="D488" t="s">
        <v>89</v>
      </c>
      <c r="E488">
        <v>11904</v>
      </c>
      <c r="F488">
        <v>883</v>
      </c>
      <c r="G488">
        <v>838</v>
      </c>
      <c r="H488">
        <v>607</v>
      </c>
      <c r="I488">
        <v>305</v>
      </c>
      <c r="J488">
        <v>32</v>
      </c>
      <c r="K488">
        <v>123</v>
      </c>
      <c r="L488">
        <v>110</v>
      </c>
      <c r="M488">
        <v>92</v>
      </c>
      <c r="N488">
        <v>105</v>
      </c>
      <c r="O488">
        <v>571</v>
      </c>
      <c r="P488">
        <v>441</v>
      </c>
      <c r="Q488">
        <v>428</v>
      </c>
      <c r="R488">
        <v>433</v>
      </c>
      <c r="S488">
        <v>1822</v>
      </c>
      <c r="T488">
        <v>1012</v>
      </c>
      <c r="U488">
        <v>810</v>
      </c>
      <c r="V488">
        <v>341</v>
      </c>
      <c r="W488">
        <v>313</v>
      </c>
      <c r="X488">
        <v>166</v>
      </c>
      <c r="Y488">
        <v>430</v>
      </c>
      <c r="Z488">
        <v>231</v>
      </c>
      <c r="AA488">
        <v>59</v>
      </c>
      <c r="AB488" t="s">
        <v>91</v>
      </c>
      <c r="AC488" t="s">
        <v>173</v>
      </c>
      <c r="AD488" t="s">
        <v>171</v>
      </c>
    </row>
    <row r="489" spans="1:30">
      <c r="A489" t="s">
        <v>220</v>
      </c>
      <c r="B489" s="16">
        <v>44652</v>
      </c>
      <c r="C489">
        <v>44664</v>
      </c>
      <c r="D489" t="s">
        <v>101</v>
      </c>
      <c r="E489">
        <v>4725</v>
      </c>
      <c r="F489">
        <v>241</v>
      </c>
      <c r="G489">
        <v>223</v>
      </c>
      <c r="H489">
        <v>214</v>
      </c>
      <c r="I489">
        <v>171</v>
      </c>
      <c r="J489">
        <v>44</v>
      </c>
      <c r="K489">
        <v>32</v>
      </c>
      <c r="L489">
        <v>29</v>
      </c>
      <c r="M489">
        <v>29</v>
      </c>
      <c r="N489">
        <v>25</v>
      </c>
      <c r="O489">
        <v>213</v>
      </c>
      <c r="P489">
        <v>169</v>
      </c>
      <c r="Q489">
        <v>162</v>
      </c>
      <c r="R489">
        <v>160</v>
      </c>
      <c r="S489">
        <v>463</v>
      </c>
      <c r="T489">
        <v>290</v>
      </c>
      <c r="U489">
        <v>173</v>
      </c>
      <c r="V489">
        <v>36</v>
      </c>
      <c r="W489">
        <v>85</v>
      </c>
      <c r="X489">
        <v>49</v>
      </c>
      <c r="Y489">
        <v>136</v>
      </c>
      <c r="Z489">
        <v>71</v>
      </c>
      <c r="AA489">
        <v>17</v>
      </c>
      <c r="AB489" t="s">
        <v>103</v>
      </c>
      <c r="AC489" t="s">
        <v>185</v>
      </c>
      <c r="AD489" t="s">
        <v>183</v>
      </c>
    </row>
    <row r="490" spans="1:30">
      <c r="A490" t="s">
        <v>220</v>
      </c>
      <c r="B490" s="16">
        <v>44652</v>
      </c>
      <c r="C490">
        <v>44664</v>
      </c>
      <c r="D490" t="s">
        <v>66</v>
      </c>
      <c r="E490">
        <v>3253</v>
      </c>
      <c r="F490">
        <v>127</v>
      </c>
      <c r="G490">
        <v>114</v>
      </c>
      <c r="H490">
        <v>85</v>
      </c>
      <c r="I490">
        <v>73</v>
      </c>
      <c r="J490">
        <v>9</v>
      </c>
      <c r="K490">
        <v>44</v>
      </c>
      <c r="L490">
        <v>38</v>
      </c>
      <c r="M490">
        <v>4</v>
      </c>
      <c r="N490">
        <v>21</v>
      </c>
      <c r="O490">
        <v>188</v>
      </c>
      <c r="P490">
        <v>130</v>
      </c>
      <c r="Q490">
        <v>117</v>
      </c>
      <c r="R490">
        <v>119</v>
      </c>
      <c r="S490">
        <v>297</v>
      </c>
      <c r="T490">
        <v>196</v>
      </c>
      <c r="U490">
        <v>101</v>
      </c>
      <c r="V490">
        <v>38</v>
      </c>
      <c r="W490">
        <v>77</v>
      </c>
      <c r="X490">
        <v>45</v>
      </c>
      <c r="Y490">
        <v>113</v>
      </c>
      <c r="Z490">
        <v>50</v>
      </c>
      <c r="AA490">
        <v>11</v>
      </c>
      <c r="AB490" t="s">
        <v>67</v>
      </c>
      <c r="AC490" t="s">
        <v>148</v>
      </c>
      <c r="AD490" t="s">
        <v>146</v>
      </c>
    </row>
    <row r="491" spans="1:30">
      <c r="A491" t="s">
        <v>220</v>
      </c>
      <c r="B491" s="16">
        <v>44652</v>
      </c>
      <c r="C491">
        <v>44664</v>
      </c>
      <c r="D491" t="s">
        <v>80</v>
      </c>
      <c r="E491">
        <v>5550</v>
      </c>
      <c r="F491">
        <v>359</v>
      </c>
      <c r="G491">
        <v>343</v>
      </c>
      <c r="H491">
        <v>274</v>
      </c>
      <c r="I491">
        <v>140</v>
      </c>
      <c r="J491">
        <v>21</v>
      </c>
      <c r="K491">
        <v>25</v>
      </c>
      <c r="L491">
        <v>20</v>
      </c>
      <c r="M491">
        <v>14</v>
      </c>
      <c r="N491">
        <v>20</v>
      </c>
      <c r="O491">
        <v>240</v>
      </c>
      <c r="P491">
        <v>177</v>
      </c>
      <c r="Q491">
        <v>174</v>
      </c>
      <c r="R491">
        <v>174</v>
      </c>
      <c r="S491">
        <v>585</v>
      </c>
      <c r="T491">
        <v>340</v>
      </c>
      <c r="U491">
        <v>245</v>
      </c>
      <c r="V491">
        <v>105</v>
      </c>
      <c r="W491">
        <v>143</v>
      </c>
      <c r="X491">
        <v>91</v>
      </c>
      <c r="Y491">
        <v>206</v>
      </c>
      <c r="Z491">
        <v>97</v>
      </c>
      <c r="AA491">
        <v>1</v>
      </c>
      <c r="AB491" t="s">
        <v>84</v>
      </c>
      <c r="AC491" t="s">
        <v>166</v>
      </c>
      <c r="AD491" t="s">
        <v>161</v>
      </c>
    </row>
    <row r="492" spans="1:30">
      <c r="A492" t="s">
        <v>220</v>
      </c>
      <c r="B492" s="16">
        <v>44652</v>
      </c>
      <c r="C492">
        <v>44664</v>
      </c>
      <c r="D492" t="s">
        <v>52</v>
      </c>
      <c r="E492">
        <v>3093</v>
      </c>
      <c r="F492">
        <v>220</v>
      </c>
      <c r="G492">
        <v>205</v>
      </c>
      <c r="H492">
        <v>179</v>
      </c>
      <c r="I492">
        <v>45</v>
      </c>
      <c r="J492">
        <v>10</v>
      </c>
      <c r="K492">
        <v>105</v>
      </c>
      <c r="L492">
        <v>98</v>
      </c>
      <c r="M492">
        <v>71</v>
      </c>
      <c r="N492">
        <v>32</v>
      </c>
      <c r="O492">
        <v>226</v>
      </c>
      <c r="P492">
        <v>168</v>
      </c>
      <c r="Q492">
        <v>166</v>
      </c>
      <c r="R492">
        <v>164</v>
      </c>
      <c r="S492">
        <v>738</v>
      </c>
      <c r="T492">
        <v>544</v>
      </c>
      <c r="U492">
        <v>194</v>
      </c>
      <c r="V492">
        <v>55</v>
      </c>
      <c r="W492">
        <v>207</v>
      </c>
      <c r="X492">
        <v>70</v>
      </c>
      <c r="Y492">
        <v>268</v>
      </c>
      <c r="Z492">
        <v>163</v>
      </c>
      <c r="AA492">
        <v>6</v>
      </c>
      <c r="AB492" t="s">
        <v>67</v>
      </c>
      <c r="AC492" t="s">
        <v>148</v>
      </c>
      <c r="AD492" t="s">
        <v>141</v>
      </c>
    </row>
    <row r="493" spans="1:30">
      <c r="A493" t="s">
        <v>220</v>
      </c>
      <c r="B493" s="16">
        <v>44652</v>
      </c>
      <c r="C493">
        <v>44664</v>
      </c>
      <c r="D493" t="s">
        <v>87</v>
      </c>
      <c r="E493">
        <v>3066</v>
      </c>
      <c r="F493">
        <v>268</v>
      </c>
      <c r="G493">
        <v>255</v>
      </c>
      <c r="H493">
        <v>173</v>
      </c>
      <c r="I493">
        <v>196</v>
      </c>
      <c r="J493">
        <v>24</v>
      </c>
      <c r="K493">
        <v>24</v>
      </c>
      <c r="L493">
        <v>20</v>
      </c>
      <c r="M493">
        <v>17</v>
      </c>
      <c r="N493">
        <v>20</v>
      </c>
      <c r="O493">
        <v>134</v>
      </c>
      <c r="P493">
        <v>123</v>
      </c>
      <c r="Q493">
        <v>96</v>
      </c>
      <c r="R493">
        <v>99</v>
      </c>
      <c r="S493">
        <v>466</v>
      </c>
      <c r="T493">
        <v>236</v>
      </c>
      <c r="U493">
        <v>230</v>
      </c>
      <c r="V493">
        <v>97</v>
      </c>
      <c r="W493">
        <v>91</v>
      </c>
      <c r="X493">
        <v>46</v>
      </c>
      <c r="Y493">
        <v>135</v>
      </c>
      <c r="Z493">
        <v>84</v>
      </c>
      <c r="AA493">
        <v>5</v>
      </c>
      <c r="AB493" t="s">
        <v>91</v>
      </c>
      <c r="AC493" t="s">
        <v>173</v>
      </c>
      <c r="AD493" t="s">
        <v>169</v>
      </c>
    </row>
    <row r="494" spans="1:30">
      <c r="A494" t="s">
        <v>220</v>
      </c>
      <c r="B494" s="16">
        <v>44652</v>
      </c>
      <c r="C494">
        <v>44664</v>
      </c>
      <c r="D494" t="s">
        <v>90</v>
      </c>
      <c r="E494">
        <v>2900</v>
      </c>
      <c r="F494">
        <v>213</v>
      </c>
      <c r="G494">
        <v>201</v>
      </c>
      <c r="H494">
        <v>175</v>
      </c>
      <c r="I494">
        <v>139</v>
      </c>
      <c r="J494">
        <v>13</v>
      </c>
      <c r="K494">
        <v>27</v>
      </c>
      <c r="L494">
        <v>23</v>
      </c>
      <c r="M494">
        <v>19</v>
      </c>
      <c r="N494">
        <v>13</v>
      </c>
      <c r="O494">
        <v>99</v>
      </c>
      <c r="P494">
        <v>88</v>
      </c>
      <c r="Q494">
        <v>88</v>
      </c>
      <c r="R494">
        <v>87</v>
      </c>
      <c r="S494">
        <v>337</v>
      </c>
      <c r="T494">
        <v>195</v>
      </c>
      <c r="U494">
        <v>142</v>
      </c>
      <c r="V494">
        <v>46</v>
      </c>
      <c r="W494">
        <v>80</v>
      </c>
      <c r="X494">
        <v>41</v>
      </c>
      <c r="Y494">
        <v>120</v>
      </c>
      <c r="Z494">
        <v>49</v>
      </c>
      <c r="AA494">
        <v>7</v>
      </c>
      <c r="AB494" t="s">
        <v>91</v>
      </c>
      <c r="AC494" t="s">
        <v>173</v>
      </c>
      <c r="AD494" t="s">
        <v>172</v>
      </c>
    </row>
    <row r="495" spans="1:30">
      <c r="A495" t="s">
        <v>220</v>
      </c>
      <c r="B495" s="16">
        <v>44652</v>
      </c>
      <c r="C495">
        <v>44664</v>
      </c>
      <c r="D495" t="s">
        <v>93</v>
      </c>
      <c r="E495">
        <v>2159</v>
      </c>
      <c r="F495">
        <v>204</v>
      </c>
      <c r="G495">
        <v>195</v>
      </c>
      <c r="H495">
        <v>140</v>
      </c>
      <c r="I495">
        <v>83</v>
      </c>
      <c r="J495">
        <v>8</v>
      </c>
      <c r="K495">
        <v>17</v>
      </c>
      <c r="L495">
        <v>13</v>
      </c>
      <c r="M495">
        <v>11</v>
      </c>
      <c r="N495">
        <v>12</v>
      </c>
      <c r="O495">
        <v>149</v>
      </c>
      <c r="P495">
        <v>129</v>
      </c>
      <c r="Q495">
        <v>128</v>
      </c>
      <c r="R495">
        <v>127</v>
      </c>
      <c r="S495">
        <v>369</v>
      </c>
      <c r="T495">
        <v>163</v>
      </c>
      <c r="U495">
        <v>206</v>
      </c>
      <c r="V495">
        <v>61</v>
      </c>
      <c r="W495">
        <v>84</v>
      </c>
      <c r="X495">
        <v>38</v>
      </c>
      <c r="Y495">
        <v>134</v>
      </c>
      <c r="Z495">
        <v>57</v>
      </c>
      <c r="AA495">
        <v>9</v>
      </c>
      <c r="AB495" t="s">
        <v>97</v>
      </c>
      <c r="AC495" t="s">
        <v>179</v>
      </c>
      <c r="AD495" t="s">
        <v>175</v>
      </c>
    </row>
    <row r="496" spans="1:30">
      <c r="A496" t="s">
        <v>220</v>
      </c>
      <c r="B496" s="16">
        <v>44652</v>
      </c>
      <c r="C496">
        <v>44664</v>
      </c>
      <c r="D496" t="s">
        <v>81</v>
      </c>
      <c r="E496">
        <v>2808</v>
      </c>
      <c r="F496">
        <v>221</v>
      </c>
      <c r="G496">
        <v>206</v>
      </c>
      <c r="H496">
        <v>91</v>
      </c>
      <c r="I496">
        <v>163</v>
      </c>
      <c r="J496">
        <v>22</v>
      </c>
      <c r="K496">
        <v>14</v>
      </c>
      <c r="L496">
        <v>10</v>
      </c>
      <c r="M496">
        <v>5</v>
      </c>
      <c r="N496">
        <v>10</v>
      </c>
      <c r="O496">
        <v>96</v>
      </c>
      <c r="P496">
        <v>72</v>
      </c>
      <c r="Q496">
        <v>71</v>
      </c>
      <c r="R496">
        <v>71</v>
      </c>
      <c r="S496">
        <v>351</v>
      </c>
      <c r="T496">
        <v>194</v>
      </c>
      <c r="U496">
        <v>157</v>
      </c>
      <c r="V496">
        <v>70</v>
      </c>
      <c r="W496">
        <v>63</v>
      </c>
      <c r="X496">
        <v>29</v>
      </c>
      <c r="Y496">
        <v>135</v>
      </c>
      <c r="Z496">
        <v>54</v>
      </c>
      <c r="AA496">
        <v>4</v>
      </c>
      <c r="AB496" t="s">
        <v>84</v>
      </c>
      <c r="AC496" t="s">
        <v>166</v>
      </c>
      <c r="AD496" t="s">
        <v>162</v>
      </c>
    </row>
    <row r="497" spans="1:30">
      <c r="A497" t="s">
        <v>220</v>
      </c>
      <c r="B497" s="16">
        <v>44652</v>
      </c>
      <c r="C497">
        <v>44664</v>
      </c>
      <c r="D497" t="s">
        <v>69</v>
      </c>
      <c r="E497">
        <v>7143</v>
      </c>
      <c r="F497">
        <v>501</v>
      </c>
      <c r="G497">
        <v>469</v>
      </c>
      <c r="H497">
        <v>357</v>
      </c>
      <c r="I497">
        <v>142</v>
      </c>
      <c r="J497">
        <v>13</v>
      </c>
      <c r="K497">
        <v>113</v>
      </c>
      <c r="L497">
        <v>93</v>
      </c>
      <c r="M497">
        <v>28</v>
      </c>
      <c r="N497">
        <v>52</v>
      </c>
      <c r="O497">
        <v>453</v>
      </c>
      <c r="P497">
        <v>331</v>
      </c>
      <c r="Q497">
        <v>325</v>
      </c>
      <c r="R497">
        <v>323</v>
      </c>
      <c r="S497">
        <v>1327</v>
      </c>
      <c r="T497">
        <v>808</v>
      </c>
      <c r="U497">
        <v>519</v>
      </c>
      <c r="V497">
        <v>285</v>
      </c>
      <c r="W497">
        <v>323</v>
      </c>
      <c r="X497">
        <v>160</v>
      </c>
      <c r="Y497">
        <v>519</v>
      </c>
      <c r="Z497">
        <v>172</v>
      </c>
      <c r="AA497">
        <v>16</v>
      </c>
      <c r="AB497" t="s">
        <v>74</v>
      </c>
      <c r="AC497" t="s">
        <v>154</v>
      </c>
      <c r="AD497" t="s">
        <v>150</v>
      </c>
    </row>
    <row r="498" spans="1:30">
      <c r="A498" t="s">
        <v>220</v>
      </c>
      <c r="B498" s="16">
        <v>44652</v>
      </c>
      <c r="C498">
        <v>44664</v>
      </c>
      <c r="D498" t="s">
        <v>65</v>
      </c>
      <c r="E498">
        <v>4824</v>
      </c>
      <c r="F498">
        <v>417</v>
      </c>
      <c r="G498">
        <v>391</v>
      </c>
      <c r="H498">
        <v>159</v>
      </c>
      <c r="I498">
        <v>263</v>
      </c>
      <c r="J498">
        <v>20</v>
      </c>
      <c r="K498">
        <v>77</v>
      </c>
      <c r="L498">
        <v>36</v>
      </c>
      <c r="M498">
        <v>19</v>
      </c>
      <c r="N498">
        <v>23</v>
      </c>
      <c r="O498">
        <v>310</v>
      </c>
      <c r="P498">
        <v>166</v>
      </c>
      <c r="Q498">
        <v>160</v>
      </c>
      <c r="R498">
        <v>156</v>
      </c>
      <c r="S498">
        <v>705</v>
      </c>
      <c r="T498">
        <v>247</v>
      </c>
      <c r="U498">
        <v>458</v>
      </c>
      <c r="V498">
        <v>60</v>
      </c>
      <c r="W498">
        <v>165</v>
      </c>
      <c r="X498">
        <v>87</v>
      </c>
      <c r="Y498">
        <v>257</v>
      </c>
      <c r="Z498">
        <v>97</v>
      </c>
      <c r="AA498">
        <v>8</v>
      </c>
      <c r="AB498" t="s">
        <v>67</v>
      </c>
      <c r="AC498" t="s">
        <v>148</v>
      </c>
      <c r="AD498" t="s">
        <v>145</v>
      </c>
    </row>
  </sheetData>
  <pageMargins left="0.7" right="0.7" top="0.75" bottom="0.75" header="0.3" footer="0.3"/>
  <tableParts count="1">
    <tablePart r:id="rId1"/>
  </tablePart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A1AB03-04C6-4EC8-B95A-BC2BD57FA940}">
  <sheetPr codeName="Sheet2"/>
  <dimension ref="B2:V59"/>
  <sheetViews>
    <sheetView showGridLines="0" zoomScale="90" zoomScaleNormal="90" workbookViewId="0">
      <pane ySplit="2" topLeftCell="A3" activePane="bottomLeft" state="frozen"/>
      <selection pane="bottomLeft" activeCell="Q7" sqref="Q7"/>
    </sheetView>
  </sheetViews>
  <sheetFormatPr defaultRowHeight="15"/>
  <cols>
    <col min="1" max="1" width="1.5703125" customWidth="1"/>
    <col min="2" max="2" width="52.7109375" bestFit="1" customWidth="1"/>
    <col min="4" max="4" width="15.28515625" customWidth="1"/>
    <col min="5" max="5" width="16.140625" customWidth="1"/>
    <col min="6" max="6" width="26.7109375" customWidth="1"/>
    <col min="7" max="7" width="19.7109375" customWidth="1"/>
    <col min="8" max="8" width="15.5703125" customWidth="1"/>
    <col min="9" max="9" width="16.140625" customWidth="1"/>
    <col min="10" max="10" width="19.7109375" customWidth="1"/>
    <col min="11" max="11" width="17.85546875" customWidth="1"/>
    <col min="12" max="12" width="9.5703125" customWidth="1"/>
    <col min="13" max="13" width="14.85546875" customWidth="1"/>
    <col min="14" max="14" width="18.85546875" customWidth="1"/>
  </cols>
  <sheetData>
    <row r="2" spans="2:22" ht="15.75">
      <c r="G2" s="285"/>
    </row>
    <row r="3" spans="2:22" ht="20.25" customHeight="1"/>
    <row r="4" spans="2:22" ht="38.25" customHeight="1"/>
    <row r="5" spans="2:22" ht="38.25" customHeight="1"/>
    <row r="6" spans="2:22" ht="38.25" customHeight="1"/>
    <row r="7" spans="2:22" ht="38.25" customHeight="1"/>
    <row r="8" spans="2:22" ht="38.25" customHeight="1"/>
    <row r="9" spans="2:22" ht="38.25" customHeight="1"/>
    <row r="10" spans="2:22" ht="16.5" thickBot="1">
      <c r="B10" s="392" t="str">
        <f>Control!F2</f>
        <v>01/04/2022</v>
      </c>
      <c r="F10" s="482" t="s">
        <v>106</v>
      </c>
      <c r="G10" s="483"/>
      <c r="H10" s="483"/>
      <c r="I10" s="483"/>
      <c r="J10" s="483"/>
      <c r="K10" s="483"/>
      <c r="L10" s="483"/>
      <c r="M10" s="483"/>
      <c r="N10" s="498"/>
    </row>
    <row r="11" spans="2:22" ht="16.5" thickBot="1">
      <c r="F11" s="211"/>
      <c r="G11" s="212"/>
      <c r="H11" s="212"/>
      <c r="I11" s="212"/>
      <c r="J11" s="212"/>
      <c r="K11" s="212"/>
      <c r="L11" s="212"/>
      <c r="M11" s="212"/>
      <c r="N11" s="228"/>
    </row>
    <row r="12" spans="2:22" ht="102.75" customHeight="1" thickBot="1">
      <c r="B12" s="13" t="s">
        <v>113</v>
      </c>
      <c r="C12" s="14" t="s">
        <v>114</v>
      </c>
      <c r="D12" s="495" t="s">
        <v>115</v>
      </c>
      <c r="E12" s="496"/>
      <c r="F12" s="389" t="s">
        <v>116</v>
      </c>
      <c r="G12" s="206" t="s">
        <v>117</v>
      </c>
      <c r="H12" s="480" t="s">
        <v>6</v>
      </c>
      <c r="I12" s="481"/>
      <c r="J12" s="284" t="s">
        <v>222</v>
      </c>
      <c r="K12" s="238" t="s">
        <v>119</v>
      </c>
      <c r="L12" s="480" t="s">
        <v>7</v>
      </c>
      <c r="M12" s="481"/>
      <c r="N12" s="286" t="s">
        <v>223</v>
      </c>
    </row>
    <row r="13" spans="2:22" ht="15" customHeight="1">
      <c r="B13" s="71" t="s">
        <v>141</v>
      </c>
      <c r="C13" s="72" t="s">
        <v>52</v>
      </c>
      <c r="D13" s="449">
        <f>SUMIFS(Table2[All currently registered regular patients aged 18+],Table2[OrgID],C13,Table2[Rel_D],Details!$D$61)</f>
        <v>3093</v>
      </c>
      <c r="E13" s="497" t="e">
        <f>SUMIFS(#REF!,#REF!,B13,#REF!,Details!$D$61)</f>
        <v>#REF!</v>
      </c>
      <c r="F13" s="113">
        <f>SUMIFS(Table2[A. Patients on the diabetes register],Table2[OrgID],C13,Table2[Rel_D],Details!$D$61)</f>
        <v>220</v>
      </c>
      <c r="G13" s="114">
        <f>SUMIFS(Table2[Type 2 diabetics],Table2[OrgID],C13,Table2[Rel_D],Details!$D$61)</f>
        <v>205</v>
      </c>
      <c r="H13" s="114">
        <f>SUMIFS(Table2[1 Diabetes review recorded or proxy 12m],Table2[OrgID],$C13,Table2[Rel_D],$B$10)</f>
        <v>179</v>
      </c>
      <c r="I13" s="233">
        <f t="shared" ref="I13:I59" si="0">IFERROR(H13/G13, "-")</f>
        <v>0.87317073170731707</v>
      </c>
      <c r="J13" s="252">
        <v>0.6</v>
      </c>
      <c r="K13" s="232">
        <f>SUMIFS(Table2[Eligible for triple target],Table2[OrgID],$C13,Table2[Rel_D],$B$10)</f>
        <v>45</v>
      </c>
      <c r="L13" s="114">
        <f>SUMIFS(Table2[3 Triple target achieved],Table2[OrgID],$C13,Table2[Rel_D],$B$10)</f>
        <v>10</v>
      </c>
      <c r="M13" s="233">
        <f>IFERROR(L13/K13, "-")</f>
        <v>0.22222222222222221</v>
      </c>
      <c r="N13" s="288">
        <v>0.15</v>
      </c>
      <c r="Q13" s="5"/>
      <c r="R13" s="5"/>
      <c r="S13" s="5"/>
      <c r="T13" s="5"/>
      <c r="U13" s="285"/>
    </row>
    <row r="14" spans="2:22" ht="15" customHeight="1">
      <c r="B14" s="73" t="s">
        <v>142</v>
      </c>
      <c r="C14" s="74" t="s">
        <v>54</v>
      </c>
      <c r="D14" s="450">
        <f>SUMIFS(Table2[All currently registered regular patients aged 18+],Table2[OrgID],C14,Table2[Rel_D],Details!$D$61)</f>
        <v>6563</v>
      </c>
      <c r="E14" s="456" t="e">
        <f>SUMIFS(#REF!,#REF!,B14,#REF!,Details!$D$61)</f>
        <v>#REF!</v>
      </c>
      <c r="F14" s="115">
        <f>SUMIFS(Table2[A. Patients on the diabetes register],Table2[OrgID],C14,Table2[Rel_D],Details!$D$61)</f>
        <v>424</v>
      </c>
      <c r="G14" s="116">
        <f>SUMIFS(Table2[Type 2 diabetics],Table2[OrgID],C14,Table2[Rel_D],Details!$D$61)</f>
        <v>387</v>
      </c>
      <c r="H14" s="116">
        <f>SUMIFS(Table2[1 Diabetes review recorded or proxy 12m],Table2[OrgID],$C14,Table2[Rel_D],$B$10)</f>
        <v>225</v>
      </c>
      <c r="I14" s="234">
        <f t="shared" si="0"/>
        <v>0.58139534883720934</v>
      </c>
      <c r="J14" s="241">
        <v>0.6</v>
      </c>
      <c r="K14" s="229">
        <f>SUMIFS(Table2[Eligible for triple target],Table2[OrgID],$C14,Table2[Rel_D],$B$10)</f>
        <v>277</v>
      </c>
      <c r="L14" s="116">
        <f>SUMIFS(Table2[3 Triple target achieved],Table2[OrgID],$C14,Table2[Rel_D],$B$10)</f>
        <v>31</v>
      </c>
      <c r="M14" s="234">
        <f t="shared" ref="M14:M59" si="1">IFERROR(L14/K14, "-")</f>
        <v>0.11191335740072202</v>
      </c>
      <c r="N14" s="287">
        <v>0.15</v>
      </c>
      <c r="Q14" s="5"/>
      <c r="R14" s="5"/>
      <c r="S14" s="5"/>
      <c r="T14" s="5"/>
      <c r="U14" s="5"/>
      <c r="V14" s="5"/>
    </row>
    <row r="15" spans="2:22" ht="15" customHeight="1">
      <c r="B15" s="73" t="s">
        <v>34</v>
      </c>
      <c r="C15" s="74" t="s">
        <v>57</v>
      </c>
      <c r="D15" s="450">
        <f>IF(COUNTIFS(Table2[OrgID],C15,Table2[Rel_D],Details!$D$61) =0,"-",SUMIFS(Table2[All currently registered regular patients aged 18+],Table2[OrgID],C15,Table2[Rel_D],Details!$D$61))</f>
        <v>4056</v>
      </c>
      <c r="E15" s="456" t="e">
        <f>SUMIFS(#REF!,#REF!,B15,#REF!,Details!$D$61)</f>
        <v>#REF!</v>
      </c>
      <c r="F15" s="115">
        <f>IF(COUNTIFS(Table2[OrgID],C15,Table2[Rel_D],Details!$D$61) =0,"-",SUMIFS(Table2[A. Patients on the diabetes register],Table2[OrgID],C15,Table2[Rel_D],Details!$D$61))</f>
        <v>377</v>
      </c>
      <c r="G15" s="116">
        <f>IF(COUNTIFS(Table2[OrgID],C15,Table2[Rel_D],Details!$D$61) =0,"-",SUMIFS(Table2[Type 2 diabetics],Table2[OrgID],C15,Table2[Rel_D],Details!$D$61))</f>
        <v>364</v>
      </c>
      <c r="H15" s="116">
        <f>SUMIFS(Table2[1 Diabetes review recorded or proxy 12m],Table2[OrgID],$C15,Table2[Rel_D],$B$10)</f>
        <v>240</v>
      </c>
      <c r="I15" s="234">
        <f t="shared" si="0"/>
        <v>0.65934065934065933</v>
      </c>
      <c r="J15" s="241">
        <v>0.6</v>
      </c>
      <c r="K15" s="229">
        <f>SUMIFS(Table2[Eligible for triple target],Table2[OrgID],$C15,Table2[Rel_D],$B$10)</f>
        <v>271</v>
      </c>
      <c r="L15" s="116">
        <f>SUMIFS(Table2[3 Triple target achieved],Table2[OrgID],$C15,Table2[Rel_D],$B$10)</f>
        <v>41</v>
      </c>
      <c r="M15" s="234">
        <f t="shared" si="1"/>
        <v>0.15129151291512916</v>
      </c>
      <c r="N15" s="287">
        <v>0.15</v>
      </c>
      <c r="Q15" s="4"/>
      <c r="R15" s="4"/>
      <c r="S15" s="4"/>
      <c r="T15" s="4"/>
      <c r="U15" s="4"/>
      <c r="V15" s="4"/>
    </row>
    <row r="16" spans="2:22" ht="15" customHeight="1">
      <c r="B16" s="73" t="s">
        <v>224</v>
      </c>
      <c r="C16" s="74" t="s">
        <v>61</v>
      </c>
      <c r="D16" s="450">
        <f>SUMIFS(Table2[All currently registered regular patients aged 18+],Table2[OrgID],C16,Table2[Rel_D],Details!$D$61)</f>
        <v>7294</v>
      </c>
      <c r="E16" s="433" t="e">
        <f>SUMIFS(#REF!,#REF!,B16,#REF!,Details!$D$61)</f>
        <v>#REF!</v>
      </c>
      <c r="F16" s="115">
        <f>SUMIFS(Table2[A. Patients on the diabetes register],Table2[OrgID],C16,Table2[Rel_D],Details!$D$61)</f>
        <v>362</v>
      </c>
      <c r="G16" s="116">
        <f>SUMIFS(Table2[Type 2 diabetics],Table2[OrgID],C16,Table2[Rel_D],Details!$D$61)</f>
        <v>333</v>
      </c>
      <c r="H16" s="116">
        <f>SUMIFS(Table2[1 Diabetes review recorded or proxy 12m],Table2[OrgID],$C16,Table2[Rel_D],$B$10)</f>
        <v>194</v>
      </c>
      <c r="I16" s="234">
        <f t="shared" si="0"/>
        <v>0.58258258258258255</v>
      </c>
      <c r="J16" s="241">
        <v>0.6</v>
      </c>
      <c r="K16" s="229">
        <f>SUMIFS(Table2[Eligible for triple target],Table2[OrgID],$C16,Table2[Rel_D],$B$10)</f>
        <v>231</v>
      </c>
      <c r="L16" s="116">
        <f>SUMIFS(Table2[3 Triple target achieved],Table2[OrgID],$C16,Table2[Rel_D],$B$10)</f>
        <v>40</v>
      </c>
      <c r="M16" s="234">
        <f t="shared" si="1"/>
        <v>0.17316017316017315</v>
      </c>
      <c r="N16" s="287">
        <v>0.15</v>
      </c>
    </row>
    <row r="17" spans="2:14">
      <c r="B17" s="73" t="s">
        <v>144</v>
      </c>
      <c r="C17" s="74" t="s">
        <v>64</v>
      </c>
      <c r="D17" s="450">
        <f>SUMIFS(Table2[All currently registered regular patients aged 18+],Table2[OrgID],C17,Table2[Rel_D],Details!$D$61)</f>
        <v>5457</v>
      </c>
      <c r="E17" s="433" t="e">
        <f>SUMIFS(#REF!,#REF!,B17,#REF!,Details!$D$61)</f>
        <v>#REF!</v>
      </c>
      <c r="F17" s="115">
        <f>SUMIFS(Table2[A. Patients on the diabetes register],Table2[OrgID],C17,Table2[Rel_D],Details!$D$61)</f>
        <v>310</v>
      </c>
      <c r="G17" s="116">
        <f>SUMIFS(Table2[Type 2 diabetics],Table2[OrgID],C17,Table2[Rel_D],Details!$D$61)</f>
        <v>297</v>
      </c>
      <c r="H17" s="116">
        <f>SUMIFS(Table2[1 Diabetes review recorded or proxy 12m],Table2[OrgID],$C17,Table2[Rel_D],$B$10)</f>
        <v>161</v>
      </c>
      <c r="I17" s="234">
        <f t="shared" si="0"/>
        <v>0.54208754208754206</v>
      </c>
      <c r="J17" s="241">
        <v>0.6</v>
      </c>
      <c r="K17" s="229">
        <f>SUMIFS(Table2[Eligible for triple target],Table2[OrgID],$C17,Table2[Rel_D],$B$10)</f>
        <v>220</v>
      </c>
      <c r="L17" s="116">
        <f>SUMIFS(Table2[3 Triple target achieved],Table2[OrgID],$C17,Table2[Rel_D],$B$10)</f>
        <v>20</v>
      </c>
      <c r="M17" s="234">
        <f t="shared" si="1"/>
        <v>9.0909090909090912E-2</v>
      </c>
      <c r="N17" s="287">
        <v>0.15</v>
      </c>
    </row>
    <row r="18" spans="2:14">
      <c r="B18" s="73" t="s">
        <v>145</v>
      </c>
      <c r="C18" s="74" t="s">
        <v>65</v>
      </c>
      <c r="D18" s="450">
        <f>SUMIFS(Table2[All currently registered regular patients aged 18+],Table2[OrgID],C18,Table2[Rel_D],Details!$D$61)</f>
        <v>4824</v>
      </c>
      <c r="E18" s="433" t="e">
        <f>SUMIFS(#REF!,#REF!,B18,#REF!,Details!$D$61)</f>
        <v>#REF!</v>
      </c>
      <c r="F18" s="115">
        <f>SUMIFS(Table2[A. Patients on the diabetes register],Table2[OrgID],C18,Table2[Rel_D],Details!$D$61)</f>
        <v>417</v>
      </c>
      <c r="G18" s="116">
        <f>SUMIFS(Table2[Type 2 diabetics],Table2[OrgID],C18,Table2[Rel_D],Details!$D$61)</f>
        <v>391</v>
      </c>
      <c r="H18" s="116">
        <f>SUMIFS(Table2[1 Diabetes review recorded or proxy 12m],Table2[OrgID],$C18,Table2[Rel_D],$B$10)</f>
        <v>159</v>
      </c>
      <c r="I18" s="234">
        <f t="shared" si="0"/>
        <v>0.40664961636828645</v>
      </c>
      <c r="J18" s="241">
        <v>0.6</v>
      </c>
      <c r="K18" s="229">
        <f>SUMIFS(Table2[Eligible for triple target],Table2[OrgID],$C18,Table2[Rel_D],$B$10)</f>
        <v>263</v>
      </c>
      <c r="L18" s="116">
        <f>SUMIFS(Table2[3 Triple target achieved],Table2[OrgID],$C18,Table2[Rel_D],$B$10)</f>
        <v>20</v>
      </c>
      <c r="M18" s="234">
        <f t="shared" si="1"/>
        <v>7.6045627376425853E-2</v>
      </c>
      <c r="N18" s="287">
        <v>0.15</v>
      </c>
    </row>
    <row r="19" spans="2:14">
      <c r="B19" s="73" t="s">
        <v>146</v>
      </c>
      <c r="C19" s="74" t="s">
        <v>66</v>
      </c>
      <c r="D19" s="450">
        <f>SUMIFS(Table2[All currently registered regular patients aged 18+],Table2[OrgID],C19,Table2[Rel_D],Details!$D$61)</f>
        <v>3253</v>
      </c>
      <c r="E19" s="433" t="e">
        <f>SUMIFS(#REF!,#REF!,B19,#REF!,Details!$D$61)</f>
        <v>#REF!</v>
      </c>
      <c r="F19" s="115">
        <f>SUMIFS(Table2[A. Patients on the diabetes register],Table2[OrgID],C19,Table2[Rel_D],Details!$D$61)</f>
        <v>127</v>
      </c>
      <c r="G19" s="116">
        <f>SUMIFS(Table2[Type 2 diabetics],Table2[OrgID],C19,Table2[Rel_D],Details!$D$61)</f>
        <v>114</v>
      </c>
      <c r="H19" s="116">
        <f>SUMIFS(Table2[1 Diabetes review recorded or proxy 12m],Table2[OrgID],$C19,Table2[Rel_D],$B$10)</f>
        <v>85</v>
      </c>
      <c r="I19" s="234">
        <f t="shared" si="0"/>
        <v>0.74561403508771928</v>
      </c>
      <c r="J19" s="241">
        <v>0.6</v>
      </c>
      <c r="K19" s="229">
        <f>SUMIFS(Table2[Eligible for triple target],Table2[OrgID],$C19,Table2[Rel_D],$B$10)</f>
        <v>73</v>
      </c>
      <c r="L19" s="116">
        <f>SUMIFS(Table2[3 Triple target achieved],Table2[OrgID],$C19,Table2[Rel_D],$B$10)</f>
        <v>9</v>
      </c>
      <c r="M19" s="234">
        <f t="shared" si="1"/>
        <v>0.12328767123287671</v>
      </c>
      <c r="N19" s="287">
        <v>0.15</v>
      </c>
    </row>
    <row r="20" spans="2:14" ht="15.75" thickBot="1">
      <c r="B20" s="75" t="s">
        <v>147</v>
      </c>
      <c r="C20" s="76" t="s">
        <v>58</v>
      </c>
      <c r="D20" s="455">
        <f>IF(COUNTIFS(Table2[OrgID],C20,Table2[Rel_D],Details!$D$61) =0,"-",SUMIFS(Table2[All currently registered regular patients aged 18+],Table2[OrgID],C20,Table2[Rel_D],Details!$D$61))</f>
        <v>5585</v>
      </c>
      <c r="E20" s="435" t="e">
        <f>SUMIFS(#REF!,#REF!,B20,#REF!,Details!$D$61)</f>
        <v>#REF!</v>
      </c>
      <c r="F20" s="117">
        <f>IF(COUNTIFS(Table2[OrgID],C20,Table2[Rel_D],Details!$D$61) =0,"-",SUMIFS(Table2[A. Patients on the diabetes register],Table2[OrgID],C20,Table2[Rel_D],Details!$D$61))</f>
        <v>410</v>
      </c>
      <c r="G20" s="118">
        <f>IF(COUNTIFS(Table2[OrgID],C20,Table2[Rel_D],Details!$D$61) =0,"-",SUMIFS(Table2[Type 2 diabetics],Table2[OrgID],C20,Table2[Rel_D],Details!$D$61))</f>
        <v>383</v>
      </c>
      <c r="H20" s="118">
        <f>SUMIFS(Table2[1 Diabetes review recorded or proxy 12m],Table2[OrgID],$C20,Table2[Rel_D],$B$10)</f>
        <v>221</v>
      </c>
      <c r="I20" s="234">
        <f t="shared" si="0"/>
        <v>0.57702349869451697</v>
      </c>
      <c r="J20" s="242">
        <v>0.6</v>
      </c>
      <c r="K20" s="230">
        <f>SUMIFS(Table2[Eligible for triple target],Table2[OrgID],$C20,Table2[Rel_D],$B$10)</f>
        <v>281</v>
      </c>
      <c r="L20" s="118">
        <f>SUMIFS(Table2[3 Triple target achieved],Table2[OrgID],$C20,Table2[Rel_D],$B$10)</f>
        <v>51</v>
      </c>
      <c r="M20" s="234">
        <f t="shared" si="1"/>
        <v>0.18149466192170818</v>
      </c>
      <c r="N20" s="289">
        <v>0.15</v>
      </c>
    </row>
    <row r="21" spans="2:14" ht="15.75" thickBot="1">
      <c r="B21" s="17" t="s">
        <v>148</v>
      </c>
      <c r="C21" s="18" t="s">
        <v>67</v>
      </c>
      <c r="D21" s="447">
        <f t="shared" ref="D21:E21" si="2">SUM(D13:D20)</f>
        <v>40125</v>
      </c>
      <c r="E21" s="448" t="e">
        <f t="shared" si="2"/>
        <v>#REF!</v>
      </c>
      <c r="F21" s="119">
        <f>SUM(F13:F20)</f>
        <v>2647</v>
      </c>
      <c r="G21" s="120">
        <f t="shared" ref="G21:L21" si="3">SUM(G13:G20)</f>
        <v>2474</v>
      </c>
      <c r="H21" s="120">
        <f t="shared" si="3"/>
        <v>1464</v>
      </c>
      <c r="I21" s="235">
        <f t="shared" si="0"/>
        <v>0.59175424413904609</v>
      </c>
      <c r="J21" s="253">
        <v>0.6</v>
      </c>
      <c r="K21" s="239">
        <f t="shared" si="3"/>
        <v>1661</v>
      </c>
      <c r="L21" s="120">
        <f t="shared" si="3"/>
        <v>222</v>
      </c>
      <c r="M21" s="235">
        <f t="shared" si="1"/>
        <v>0.13365442504515351</v>
      </c>
      <c r="N21" s="290">
        <v>0.15</v>
      </c>
    </row>
    <row r="22" spans="2:14">
      <c r="B22" s="77" t="s">
        <v>149</v>
      </c>
      <c r="C22" s="78" t="s">
        <v>56</v>
      </c>
      <c r="D22" s="449">
        <f>IF(COUNTIFS(Table2[OrgID],C22,Table2[Rel_D],Details!$D$61) =0,"-",SUMIFS(Table2[All currently registered regular patients aged 18+],Table2[OrgID],C22,Table2[Rel_D],Details!$D$61))</f>
        <v>12435</v>
      </c>
      <c r="E22" s="431" t="e">
        <f>SUMIFS(#REF!,#REF!,B22,#REF!,Details!$D$61)</f>
        <v>#REF!</v>
      </c>
      <c r="F22" s="121">
        <f>IF(COUNTIFS(Table2[OrgID],C22,Table2[Rel_D],Details!$D$61) =0,"-",SUMIFS(Table2[A. Patients on the diabetes register],Table2[OrgID],C22,Table2[Rel_D],Details!$D$61))</f>
        <v>705</v>
      </c>
      <c r="G22" s="122">
        <f>IF(COUNTIFS(Table2[OrgID],C22,Table2[Rel_D],Details!$D$61) =0,"-",SUMIFS(Table2[Type 2 diabetics],Table2[OrgID],C22,Table2[Rel_D],Details!$D$61))</f>
        <v>652</v>
      </c>
      <c r="H22" s="122">
        <f>SUMIFS(Table2[1 Diabetes review recorded or proxy 12m],Table2[OrgID],$C22,Table2[Rel_D],$B$10)</f>
        <v>441</v>
      </c>
      <c r="I22" s="234">
        <f t="shared" si="0"/>
        <v>0.67638036809815949</v>
      </c>
      <c r="J22" s="240">
        <v>0.6</v>
      </c>
      <c r="K22" s="231">
        <f>SUMIFS(Table2[Eligible for triple target],Table2[OrgID],$C22,Table2[Rel_D],$B$10)</f>
        <v>316</v>
      </c>
      <c r="L22" s="122">
        <f>SUMIFS(Table2[3 Triple target achieved],Table2[OrgID],$C22,Table2[Rel_D],$B$10)</f>
        <v>39</v>
      </c>
      <c r="M22" s="234">
        <f t="shared" si="1"/>
        <v>0.12341772151898735</v>
      </c>
      <c r="N22" s="291">
        <v>0.15</v>
      </c>
    </row>
    <row r="23" spans="2:14">
      <c r="B23" s="73" t="s">
        <v>150</v>
      </c>
      <c r="C23" s="74" t="s">
        <v>69</v>
      </c>
      <c r="D23" s="450">
        <f>SUMIFS(Table2[All currently registered regular patients aged 18+],Table2[OrgID],C23,Table2[Rel_D],Details!$D$61)</f>
        <v>7143</v>
      </c>
      <c r="E23" s="433" t="e">
        <f>SUMIFS(#REF!,#REF!,B23,#REF!,Details!$D$61)</f>
        <v>#REF!</v>
      </c>
      <c r="F23" s="115">
        <f>SUMIFS(Table2[A. Patients on the diabetes register],Table2[OrgID],C23,Table2[Rel_D],Details!$D$61)</f>
        <v>501</v>
      </c>
      <c r="G23" s="116">
        <f>SUMIFS(Table2[Type 2 diabetics],Table2[OrgID],C23,Table2[Rel_D],Details!$D$61)</f>
        <v>469</v>
      </c>
      <c r="H23" s="116">
        <f>SUMIFS(Table2[1 Diabetes review recorded or proxy 12m],Table2[OrgID],$C23,Table2[Rel_D],$B$10)</f>
        <v>357</v>
      </c>
      <c r="I23" s="234">
        <f t="shared" si="0"/>
        <v>0.76119402985074625</v>
      </c>
      <c r="J23" s="241">
        <v>0.6</v>
      </c>
      <c r="K23" s="229">
        <f>SUMIFS(Table2[Eligible for triple target],Table2[OrgID],$C23,Table2[Rel_D],$B$10)</f>
        <v>142</v>
      </c>
      <c r="L23" s="116">
        <f>SUMIFS(Table2[3 Triple target achieved],Table2[OrgID],$C23,Table2[Rel_D],$B$10)</f>
        <v>13</v>
      </c>
      <c r="M23" s="234">
        <f t="shared" si="1"/>
        <v>9.154929577464789E-2</v>
      </c>
      <c r="N23" s="287">
        <v>0.15</v>
      </c>
    </row>
    <row r="24" spans="2:14">
      <c r="B24" s="73" t="s">
        <v>151</v>
      </c>
      <c r="C24" s="74" t="s">
        <v>70</v>
      </c>
      <c r="D24" s="450">
        <f>SUMIFS(Table2[All currently registered regular patients aged 18+],Table2[OrgID],C24,Table2[Rel_D],Details!$D$61)</f>
        <v>10588</v>
      </c>
      <c r="E24" s="433" t="e">
        <f>SUMIFS(#REF!,#REF!,B24,#REF!,Details!$D$61)</f>
        <v>#REF!</v>
      </c>
      <c r="F24" s="115">
        <f>SUMIFS(Table2[A. Patients on the diabetes register],Table2[OrgID],C24,Table2[Rel_D],Details!$D$61)</f>
        <v>818</v>
      </c>
      <c r="G24" s="116">
        <f>SUMIFS(Table2[Type 2 diabetics],Table2[OrgID],C24,Table2[Rel_D],Details!$D$61)</f>
        <v>768</v>
      </c>
      <c r="H24" s="116">
        <f>SUMIFS(Table2[1 Diabetes review recorded or proxy 12m],Table2[OrgID],$C24,Table2[Rel_D],$B$10)</f>
        <v>497</v>
      </c>
      <c r="I24" s="234">
        <f t="shared" si="0"/>
        <v>0.64713541666666663</v>
      </c>
      <c r="J24" s="241">
        <v>0.6</v>
      </c>
      <c r="K24" s="229">
        <f>SUMIFS(Table2[Eligible for triple target],Table2[OrgID],$C24,Table2[Rel_D],$B$10)</f>
        <v>222</v>
      </c>
      <c r="L24" s="116">
        <f>SUMIFS(Table2[3 Triple target achieved],Table2[OrgID],$C24,Table2[Rel_D],$B$10)</f>
        <v>24</v>
      </c>
      <c r="M24" s="234">
        <f t="shared" si="1"/>
        <v>0.10810810810810811</v>
      </c>
      <c r="N24" s="287">
        <v>0.15</v>
      </c>
    </row>
    <row r="25" spans="2:14">
      <c r="B25" s="73" t="s">
        <v>152</v>
      </c>
      <c r="C25" s="74" t="s">
        <v>71</v>
      </c>
      <c r="D25" s="450">
        <f>SUMIFS(Table2[All currently registered regular patients aged 18+],Table2[OrgID],C25,Table2[Rel_D],Details!$D$61)</f>
        <v>5687</v>
      </c>
      <c r="E25" s="433" t="e">
        <f>SUMIFS(#REF!,#REF!,B25,#REF!,Details!$D$61)</f>
        <v>#REF!</v>
      </c>
      <c r="F25" s="115">
        <f>SUMIFS(Table2[A. Patients on the diabetes register],Table2[OrgID],C25,Table2[Rel_D],Details!$D$61)</f>
        <v>341</v>
      </c>
      <c r="G25" s="116">
        <f>SUMIFS(Table2[Type 2 diabetics],Table2[OrgID],C25,Table2[Rel_D],Details!$D$61)</f>
        <v>315</v>
      </c>
      <c r="H25" s="116">
        <f>SUMIFS(Table2[1 Diabetes review recorded or proxy 12m],Table2[OrgID],$C25,Table2[Rel_D],$B$10)</f>
        <v>157</v>
      </c>
      <c r="I25" s="234">
        <f t="shared" si="0"/>
        <v>0.49841269841269842</v>
      </c>
      <c r="J25" s="241">
        <v>0.6</v>
      </c>
      <c r="K25" s="229">
        <f>SUMIFS(Table2[Eligible for triple target],Table2[OrgID],$C25,Table2[Rel_D],$B$10)</f>
        <v>141</v>
      </c>
      <c r="L25" s="116">
        <f>SUMIFS(Table2[3 Triple target achieved],Table2[OrgID],$C25,Table2[Rel_D],$B$10)</f>
        <v>12</v>
      </c>
      <c r="M25" s="234">
        <f t="shared" si="1"/>
        <v>8.5106382978723402E-2</v>
      </c>
      <c r="N25" s="287">
        <v>0.15</v>
      </c>
    </row>
    <row r="26" spans="2:14" ht="15.75" thickBot="1">
      <c r="B26" s="75" t="s">
        <v>153</v>
      </c>
      <c r="C26" s="76" t="s">
        <v>72</v>
      </c>
      <c r="D26" s="455">
        <f>SUMIFS(Table2[All currently registered regular patients aged 18+],Table2[OrgID],C26,Table2[Rel_D],Details!$D$61)</f>
        <v>6045</v>
      </c>
      <c r="E26" s="435" t="e">
        <f>SUMIFS(#REF!,#REF!,B26,#REF!,Details!$D$61)</f>
        <v>#REF!</v>
      </c>
      <c r="F26" s="117">
        <f>SUMIFS(Table2[A. Patients on the diabetes register],Table2[OrgID],C26,Table2[Rel_D],Details!$D$61)</f>
        <v>380</v>
      </c>
      <c r="G26" s="118">
        <f>SUMIFS(Table2[Type 2 diabetics],Table2[OrgID],C26,Table2[Rel_D],Details!$D$61)</f>
        <v>354</v>
      </c>
      <c r="H26" s="118">
        <f>SUMIFS(Table2[1 Diabetes review recorded or proxy 12m],Table2[OrgID],$C26,Table2[Rel_D],$B$10)</f>
        <v>319</v>
      </c>
      <c r="I26" s="236">
        <f t="shared" si="0"/>
        <v>0.90112994350282483</v>
      </c>
      <c r="J26" s="242">
        <v>0.6</v>
      </c>
      <c r="K26" s="230">
        <f>SUMIFS(Table2[Eligible for triple target],Table2[OrgID],$C26,Table2[Rel_D],$B$10)</f>
        <v>125</v>
      </c>
      <c r="L26" s="118">
        <f>SUMIFS(Table2[3 Triple target achieved],Table2[OrgID],$C26,Table2[Rel_D],$B$10)</f>
        <v>34</v>
      </c>
      <c r="M26" s="236">
        <f t="shared" si="1"/>
        <v>0.27200000000000002</v>
      </c>
      <c r="N26" s="289">
        <v>0.15</v>
      </c>
    </row>
    <row r="27" spans="2:14" ht="15.75" thickBot="1">
      <c r="B27" s="17" t="s">
        <v>154</v>
      </c>
      <c r="C27" s="18" t="s">
        <v>74</v>
      </c>
      <c r="D27" s="447">
        <f>SUM(D22:D26)</f>
        <v>41898</v>
      </c>
      <c r="E27" s="448" t="e">
        <f t="shared" ref="E27" si="4">SUM(E22:E26)</f>
        <v>#REF!</v>
      </c>
      <c r="F27" s="119">
        <f>SUM(F22:F26)</f>
        <v>2745</v>
      </c>
      <c r="G27" s="120">
        <f t="shared" ref="G27:L27" si="5">SUM(G22:G26)</f>
        <v>2558</v>
      </c>
      <c r="H27" s="120">
        <f t="shared" si="5"/>
        <v>1771</v>
      </c>
      <c r="I27" s="235">
        <f t="shared" si="0"/>
        <v>0.6923377638780297</v>
      </c>
      <c r="J27" s="253">
        <v>0.6</v>
      </c>
      <c r="K27" s="239">
        <f t="shared" si="5"/>
        <v>946</v>
      </c>
      <c r="L27" s="120">
        <f t="shared" si="5"/>
        <v>122</v>
      </c>
      <c r="M27" s="235">
        <f t="shared" si="1"/>
        <v>0.12896405919661733</v>
      </c>
      <c r="N27" s="290">
        <v>0.15</v>
      </c>
    </row>
    <row r="28" spans="2:14">
      <c r="B28" s="77" t="s">
        <v>155</v>
      </c>
      <c r="C28" s="78" t="s">
        <v>75</v>
      </c>
      <c r="D28" s="449">
        <f>SUMIFS(Table2[All currently registered regular patients aged 18+],Table2[OrgID],C28,Table2[Rel_D],Details!$D$61)</f>
        <v>7813</v>
      </c>
      <c r="E28" s="431" t="e">
        <f>SUMIFS(#REF!,#REF!,B28,#REF!,Details!$D$61)</f>
        <v>#REF!</v>
      </c>
      <c r="F28" s="121">
        <f>SUMIFS(Table2[A. Patients on the diabetes register],Table2[OrgID],C28,Table2[Rel_D],Details!$D$61)</f>
        <v>747</v>
      </c>
      <c r="G28" s="122">
        <f>SUMIFS(Table2[Type 2 diabetics],Table2[OrgID],C28,Table2[Rel_D],Details!$D$61)</f>
        <v>706</v>
      </c>
      <c r="H28" s="122">
        <f>SUMIFS(Table2[1 Diabetes review recorded or proxy 12m],Table2[OrgID],$C28,Table2[Rel_D],$B$10)</f>
        <v>558</v>
      </c>
      <c r="I28" s="237">
        <f t="shared" si="0"/>
        <v>0.79036827195467418</v>
      </c>
      <c r="J28" s="240">
        <v>0.6</v>
      </c>
      <c r="K28" s="231">
        <f>SUMIFS(Table2[Eligible for triple target],Table2[OrgID],$C28,Table2[Rel_D],$B$10)</f>
        <v>454</v>
      </c>
      <c r="L28" s="122">
        <f>SUMIFS(Table2[3 Triple target achieved],Table2[OrgID],$C28,Table2[Rel_D],$B$10)</f>
        <v>68</v>
      </c>
      <c r="M28" s="237">
        <f t="shared" si="1"/>
        <v>0.14977973568281938</v>
      </c>
      <c r="N28" s="291">
        <v>0.15</v>
      </c>
    </row>
    <row r="29" spans="2:14">
      <c r="B29" s="73" t="s">
        <v>156</v>
      </c>
      <c r="C29" s="74" t="s">
        <v>76</v>
      </c>
      <c r="D29" s="450">
        <f>SUMIFS(Table2[All currently registered regular patients aged 18+],Table2[OrgID],C29,Table2[Rel_D],Details!$D$61)</f>
        <v>8209</v>
      </c>
      <c r="E29" s="433" t="e">
        <f>SUMIFS(#REF!,#REF!,B29,#REF!,Details!$D$61)</f>
        <v>#REF!</v>
      </c>
      <c r="F29" s="115">
        <f>SUMIFS(Table2[A. Patients on the diabetes register],Table2[OrgID],C29,Table2[Rel_D],Details!$D$61)</f>
        <v>797</v>
      </c>
      <c r="G29" s="116">
        <f>SUMIFS(Table2[Type 2 diabetics],Table2[OrgID],C29,Table2[Rel_D],Details!$D$61)</f>
        <v>767</v>
      </c>
      <c r="H29" s="116">
        <f>SUMIFS(Table2[1 Diabetes review recorded or proxy 12m],Table2[OrgID],$C29,Table2[Rel_D],$B$10)</f>
        <v>698</v>
      </c>
      <c r="I29" s="234">
        <f t="shared" si="0"/>
        <v>0.91003911342894395</v>
      </c>
      <c r="J29" s="241">
        <v>0.6</v>
      </c>
      <c r="K29" s="229">
        <f>SUMIFS(Table2[Eligible for triple target],Table2[OrgID],$C29,Table2[Rel_D],$B$10)</f>
        <v>525</v>
      </c>
      <c r="L29" s="116">
        <f>SUMIFS(Table2[3 Triple target achieved],Table2[OrgID],$C29,Table2[Rel_D],$B$10)</f>
        <v>110</v>
      </c>
      <c r="M29" s="234">
        <f t="shared" si="1"/>
        <v>0.20952380952380953</v>
      </c>
      <c r="N29" s="287">
        <v>0.15</v>
      </c>
    </row>
    <row r="30" spans="2:14" ht="15.75" thickBot="1">
      <c r="B30" s="75" t="s">
        <v>157</v>
      </c>
      <c r="C30" s="76" t="s">
        <v>59</v>
      </c>
      <c r="D30" s="455">
        <f>IF(COUNTIFS(Table2[OrgID],C30,Table2[Rel_D],Details!$D$61) =0,"-",SUMIFS(Table2[All currently registered regular patients aged 18+],Table2[OrgID],C30,Table2[Rel_D],Details!$D$61))</f>
        <v>11775</v>
      </c>
      <c r="E30" s="435" t="e">
        <f>SUMIFS(#REF!,#REF!,B30,#REF!,Details!$D$61)</f>
        <v>#REF!</v>
      </c>
      <c r="F30" s="117">
        <f>IF(COUNTIFS(Table2[OrgID],C30,Table2[Rel_D],Details!$D$61) =0,"-",SUMIFS(Table2[A. Patients on the diabetes register],Table2[OrgID],C30,Table2[Rel_D],Details!$D$61))</f>
        <v>869</v>
      </c>
      <c r="G30" s="118">
        <f>IF(COUNTIFS(Table2[OrgID],C30,Table2[Rel_D],Details!$D$61) =0,"-",SUMIFS(Table2[Type 2 diabetics],Table2[OrgID],C30,Table2[Rel_D],Details!$D$61))</f>
        <v>827</v>
      </c>
      <c r="H30" s="118">
        <f>SUMIFS(Table2[1 Diabetes review recorded or proxy 12m],Table2[OrgID],$C30,Table2[Rel_D],$B$10)</f>
        <v>630</v>
      </c>
      <c r="I30" s="234">
        <f t="shared" si="0"/>
        <v>0.76178960096735182</v>
      </c>
      <c r="J30" s="242">
        <v>0.6</v>
      </c>
      <c r="K30" s="230">
        <f>SUMIFS(Table2[Eligible for triple target],Table2[OrgID],$C30,Table2[Rel_D],$B$10)</f>
        <v>682</v>
      </c>
      <c r="L30" s="118">
        <f>SUMIFS(Table2[3 Triple target achieved],Table2[OrgID],$C30,Table2[Rel_D],$B$10)</f>
        <v>75</v>
      </c>
      <c r="M30" s="234">
        <f t="shared" si="1"/>
        <v>0.10997067448680352</v>
      </c>
      <c r="N30" s="289">
        <v>0.15</v>
      </c>
    </row>
    <row r="31" spans="2:14" ht="15.75" thickBot="1">
      <c r="B31" s="17" t="s">
        <v>158</v>
      </c>
      <c r="C31" s="18" t="s">
        <v>77</v>
      </c>
      <c r="D31" s="447">
        <f>SUM(D28:D30)</f>
        <v>27797</v>
      </c>
      <c r="E31" s="448" t="e">
        <f t="shared" ref="E31" si="6">SUM(E28:E30)</f>
        <v>#REF!</v>
      </c>
      <c r="F31" s="119">
        <f>SUM(F28:F30)</f>
        <v>2413</v>
      </c>
      <c r="G31" s="120">
        <f t="shared" ref="G31:L31" si="7">SUM(G28:G30)</f>
        <v>2300</v>
      </c>
      <c r="H31" s="120">
        <f t="shared" si="7"/>
        <v>1886</v>
      </c>
      <c r="I31" s="235">
        <f t="shared" si="0"/>
        <v>0.82</v>
      </c>
      <c r="J31" s="253">
        <v>0.6</v>
      </c>
      <c r="K31" s="239">
        <f t="shared" si="7"/>
        <v>1661</v>
      </c>
      <c r="L31" s="120">
        <f t="shared" si="7"/>
        <v>253</v>
      </c>
      <c r="M31" s="235">
        <f t="shared" si="1"/>
        <v>0.15231788079470199</v>
      </c>
      <c r="N31" s="290">
        <v>0.15</v>
      </c>
    </row>
    <row r="32" spans="2:14">
      <c r="B32" s="77" t="s">
        <v>159</v>
      </c>
      <c r="C32" s="78" t="s">
        <v>78</v>
      </c>
      <c r="D32" s="449">
        <f>SUMIFS(Table2[All currently registered regular patients aged 18+],Table2[OrgID],C32,Table2[Rel_D],Details!$D$61)</f>
        <v>11555</v>
      </c>
      <c r="E32" s="431" t="e">
        <f>SUMIFS(#REF!,#REF!,B32,#REF!,Details!$D$61)</f>
        <v>#REF!</v>
      </c>
      <c r="F32" s="121">
        <f>SUMIFS(Table2[A. Patients on the diabetes register],Table2[OrgID],C32,Table2[Rel_D],Details!$D$61)</f>
        <v>787</v>
      </c>
      <c r="G32" s="122">
        <f>SUMIFS(Table2[Type 2 diabetics],Table2[OrgID],C32,Table2[Rel_D],Details!$D$61)</f>
        <v>727</v>
      </c>
      <c r="H32" s="122">
        <f>SUMIFS(Table2[1 Diabetes review recorded or proxy 12m],Table2[OrgID],$C32,Table2[Rel_D],$B$10)</f>
        <v>547</v>
      </c>
      <c r="I32" s="237">
        <f t="shared" si="0"/>
        <v>0.75240715268225589</v>
      </c>
      <c r="J32" s="240">
        <v>0.6</v>
      </c>
      <c r="K32" s="231">
        <f>SUMIFS(Table2[Eligible for triple target],Table2[OrgID],$C32,Table2[Rel_D],$B$10)</f>
        <v>524</v>
      </c>
      <c r="L32" s="122">
        <f>SUMIFS(Table2[3 Triple target achieved],Table2[OrgID],$C32,Table2[Rel_D],$B$10)</f>
        <v>80</v>
      </c>
      <c r="M32" s="237">
        <f t="shared" si="1"/>
        <v>0.15267175572519084</v>
      </c>
      <c r="N32" s="291">
        <v>0.15</v>
      </c>
    </row>
    <row r="33" spans="2:14">
      <c r="B33" s="73" t="s">
        <v>225</v>
      </c>
      <c r="C33" s="76" t="s">
        <v>79</v>
      </c>
      <c r="D33" s="450">
        <f>SUMIFS(Table2[All currently registered regular patients aged 18+],Table2[OrgID],C33,Table2[Rel_D],Details!$D$61)</f>
        <v>8734</v>
      </c>
      <c r="E33" s="433" t="e">
        <f>SUMIFS(#REF!,#REF!,B33,#REF!,Details!$D$61)</f>
        <v>#REF!</v>
      </c>
      <c r="F33" s="115">
        <f>SUMIFS(Table2[A. Patients on the diabetes register],Table2[OrgID],C33,Table2[Rel_D],Details!$D$61)</f>
        <v>430</v>
      </c>
      <c r="G33" s="116">
        <f>SUMIFS(Table2[Type 2 diabetics],Table2[OrgID],C33,Table2[Rel_D],Details!$D$61)</f>
        <v>393</v>
      </c>
      <c r="H33" s="116">
        <f>SUMIFS(Table2[1 Diabetes review recorded or proxy 12m],Table2[OrgID],$C33,Table2[Rel_D],$B$10)</f>
        <v>325</v>
      </c>
      <c r="I33" s="234">
        <f t="shared" si="0"/>
        <v>0.82697201017811706</v>
      </c>
      <c r="J33" s="241">
        <v>0.6</v>
      </c>
      <c r="K33" s="229">
        <f>SUMIFS(Table2[Eligible for triple target],Table2[OrgID],$C33,Table2[Rel_D],$B$10)</f>
        <v>248</v>
      </c>
      <c r="L33" s="116">
        <f>SUMIFS(Table2[3 Triple target achieved],Table2[OrgID],$C33,Table2[Rel_D],$B$10)</f>
        <v>33</v>
      </c>
      <c r="M33" s="234">
        <f t="shared" si="1"/>
        <v>0.13306451612903225</v>
      </c>
      <c r="N33" s="287">
        <v>0.15</v>
      </c>
    </row>
    <row r="34" spans="2:14">
      <c r="B34" s="73" t="s">
        <v>161</v>
      </c>
      <c r="C34" s="74" t="s">
        <v>80</v>
      </c>
      <c r="D34" s="450">
        <f>SUMIFS(Table2[All currently registered regular patients aged 18+],Table2[OrgID],C34,Table2[Rel_D],Details!$D$61)</f>
        <v>5550</v>
      </c>
      <c r="E34" s="433" t="e">
        <f>SUMIFS(#REF!,#REF!,B34,#REF!,Details!$D$61)</f>
        <v>#REF!</v>
      </c>
      <c r="F34" s="115">
        <f>SUMIFS(Table2[A. Patients on the diabetes register],Table2[OrgID],C34,Table2[Rel_D],Details!$D$61)</f>
        <v>359</v>
      </c>
      <c r="G34" s="116">
        <f>SUMIFS(Table2[Type 2 diabetics],Table2[OrgID],C34,Table2[Rel_D],Details!$D$61)</f>
        <v>343</v>
      </c>
      <c r="H34" s="116">
        <f>SUMIFS(Table2[1 Diabetes review recorded or proxy 12m],Table2[OrgID],$C34,Table2[Rel_D],$B$10)</f>
        <v>274</v>
      </c>
      <c r="I34" s="234">
        <f t="shared" si="0"/>
        <v>0.79883381924198249</v>
      </c>
      <c r="J34" s="241">
        <v>0.6</v>
      </c>
      <c r="K34" s="229">
        <f>SUMIFS(Table2[Eligible for triple target],Table2[OrgID],$C34,Table2[Rel_D],$B$10)</f>
        <v>140</v>
      </c>
      <c r="L34" s="116">
        <f>SUMIFS(Table2[3 Triple target achieved],Table2[OrgID],$C34,Table2[Rel_D],$B$10)</f>
        <v>21</v>
      </c>
      <c r="M34" s="234">
        <f t="shared" si="1"/>
        <v>0.15</v>
      </c>
      <c r="N34" s="287">
        <v>0.15</v>
      </c>
    </row>
    <row r="35" spans="2:14">
      <c r="B35" s="73" t="s">
        <v>162</v>
      </c>
      <c r="C35" s="74" t="s">
        <v>81</v>
      </c>
      <c r="D35" s="450">
        <f>SUMIFS(Table2[All currently registered regular patients aged 18+],Table2[OrgID],C35,Table2[Rel_D],Details!$D$61)</f>
        <v>2808</v>
      </c>
      <c r="E35" s="433" t="e">
        <f>SUMIFS(#REF!,#REF!,B35,#REF!,Details!$D$61)</f>
        <v>#REF!</v>
      </c>
      <c r="F35" s="115">
        <f>SUMIFS(Table2[A. Patients on the diabetes register],Table2[OrgID],C35,Table2[Rel_D],Details!$D$61)</f>
        <v>221</v>
      </c>
      <c r="G35" s="116">
        <f>SUMIFS(Table2[Type 2 diabetics],Table2[OrgID],C35,Table2[Rel_D],Details!$D$61)</f>
        <v>206</v>
      </c>
      <c r="H35" s="116">
        <f>SUMIFS(Table2[1 Diabetes review recorded or proxy 12m],Table2[OrgID],$C35,Table2[Rel_D],$B$10)</f>
        <v>91</v>
      </c>
      <c r="I35" s="234">
        <f t="shared" si="0"/>
        <v>0.44174757281553401</v>
      </c>
      <c r="J35" s="241">
        <v>0.6</v>
      </c>
      <c r="K35" s="229">
        <f>SUMIFS(Table2[Eligible for triple target],Table2[OrgID],$C35,Table2[Rel_D],$B$10)</f>
        <v>163</v>
      </c>
      <c r="L35" s="116">
        <f>SUMIFS(Table2[3 Triple target achieved],Table2[OrgID],$C35,Table2[Rel_D],$B$10)</f>
        <v>22</v>
      </c>
      <c r="M35" s="234">
        <f t="shared" si="1"/>
        <v>0.13496932515337423</v>
      </c>
      <c r="N35" s="287">
        <v>0.15</v>
      </c>
    </row>
    <row r="36" spans="2:14">
      <c r="B36" s="73" t="s">
        <v>163</v>
      </c>
      <c r="C36" s="74" t="s">
        <v>82</v>
      </c>
      <c r="D36" s="450">
        <f>SUMIFS(Table2[All currently registered regular patients aged 18+],Table2[OrgID],C36,Table2[Rel_D],Details!$D$61)</f>
        <v>6361</v>
      </c>
      <c r="E36" s="433" t="e">
        <f>SUMIFS(#REF!,#REF!,B36,#REF!,Details!$D$61)</f>
        <v>#REF!</v>
      </c>
      <c r="F36" s="115">
        <f>SUMIFS(Table2[A. Patients on the diabetes register],Table2[OrgID],C36,Table2[Rel_D],Details!$D$61)</f>
        <v>514</v>
      </c>
      <c r="G36" s="116">
        <f>SUMIFS(Table2[Type 2 diabetics],Table2[OrgID],C36,Table2[Rel_D],Details!$D$61)</f>
        <v>490</v>
      </c>
      <c r="H36" s="116">
        <f>SUMIFS(Table2[1 Diabetes review recorded or proxy 12m],Table2[OrgID],$C36,Table2[Rel_D],$B$10)</f>
        <v>290</v>
      </c>
      <c r="I36" s="234">
        <f t="shared" si="0"/>
        <v>0.59183673469387754</v>
      </c>
      <c r="J36" s="241">
        <v>0.6</v>
      </c>
      <c r="K36" s="229">
        <f>SUMIFS(Table2[Eligible for triple target],Table2[OrgID],$C36,Table2[Rel_D],$B$10)</f>
        <v>359</v>
      </c>
      <c r="L36" s="116">
        <f>SUMIFS(Table2[3 Triple target achieved],Table2[OrgID],$C36,Table2[Rel_D],$B$10)</f>
        <v>44</v>
      </c>
      <c r="M36" s="234">
        <f t="shared" si="1"/>
        <v>0.12256267409470752</v>
      </c>
      <c r="N36" s="287">
        <v>0.15</v>
      </c>
    </row>
    <row r="37" spans="2:14">
      <c r="B37" s="73" t="s">
        <v>164</v>
      </c>
      <c r="C37" s="74" t="s">
        <v>83</v>
      </c>
      <c r="D37" s="450">
        <f>SUMIFS(Table2[All currently registered regular patients aged 18+],Table2[OrgID],C37,Table2[Rel_D],Details!$D$61)</f>
        <v>4175</v>
      </c>
      <c r="E37" s="433" t="e">
        <f>SUMIFS(#REF!,#REF!,B37,#REF!,Details!$D$61)</f>
        <v>#REF!</v>
      </c>
      <c r="F37" s="115">
        <f>SUMIFS(Table2[A. Patients on the diabetes register],Table2[OrgID],C37,Table2[Rel_D],Details!$D$61)</f>
        <v>372</v>
      </c>
      <c r="G37" s="116">
        <f>SUMIFS(Table2[Type 2 diabetics],Table2[OrgID],C37,Table2[Rel_D],Details!$D$61)</f>
        <v>356</v>
      </c>
      <c r="H37" s="116">
        <f>SUMIFS(Table2[1 Diabetes review recorded or proxy 12m],Table2[OrgID],$C37,Table2[Rel_D],$B$10)</f>
        <v>179</v>
      </c>
      <c r="I37" s="234">
        <f t="shared" si="0"/>
        <v>0.5028089887640449</v>
      </c>
      <c r="J37" s="241">
        <v>0.6</v>
      </c>
      <c r="K37" s="229">
        <f>SUMIFS(Table2[Eligible for triple target],Table2[OrgID],$C37,Table2[Rel_D],$B$10)</f>
        <v>141</v>
      </c>
      <c r="L37" s="116">
        <f>SUMIFS(Table2[3 Triple target achieved],Table2[OrgID],$C37,Table2[Rel_D],$B$10)</f>
        <v>24</v>
      </c>
      <c r="M37" s="234">
        <f t="shared" si="1"/>
        <v>0.1702127659574468</v>
      </c>
      <c r="N37" s="287">
        <v>0.15</v>
      </c>
    </row>
    <row r="38" spans="2:14" ht="15.75" thickBot="1">
      <c r="B38" s="75" t="s">
        <v>165</v>
      </c>
      <c r="C38" s="76" t="s">
        <v>63</v>
      </c>
      <c r="D38" s="455">
        <f>IF(COUNTIFS(Table2[OrgID],C38,Table2[Rel_D],Details!$D$61) =0,"-",SUMIFS(Table2[All currently registered regular patients aged 18+],Table2[OrgID],C38,Table2[Rel_D],Details!$D$61))</f>
        <v>7767</v>
      </c>
      <c r="E38" s="435" t="e">
        <f>SUMIFS(#REF!,#REF!,B38,#REF!,Details!$D$61)</f>
        <v>#REF!</v>
      </c>
      <c r="F38" s="117">
        <f>IF(COUNTIFS(Table2[OrgID],C38,Table2[Rel_D],Details!$D$61) =0,"-",SUMIFS(Table2[A. Patients on the diabetes register],Table2[OrgID],C38,Table2[Rel_D],Details!$D$61))</f>
        <v>676</v>
      </c>
      <c r="G38" s="118">
        <f>IF(COUNTIFS(Table2[OrgID],C38,Table2[Rel_D],Details!$D$61) =0,"-",SUMIFS(Table2[Type 2 diabetics],Table2[OrgID],C38,Table2[Rel_D],Details!$D$61))</f>
        <v>627</v>
      </c>
      <c r="H38" s="118">
        <f>SUMIFS(Table2[1 Diabetes review recorded or proxy 12m],Table2[OrgID],$C38,Table2[Rel_D],$B$10)</f>
        <v>330</v>
      </c>
      <c r="I38" s="234">
        <f t="shared" si="0"/>
        <v>0.52631578947368418</v>
      </c>
      <c r="J38" s="242">
        <v>0.6</v>
      </c>
      <c r="K38" s="230">
        <f>SUMIFS(Table2[Eligible for triple target],Table2[OrgID],$C38,Table2[Rel_D],$B$10)</f>
        <v>439</v>
      </c>
      <c r="L38" s="118">
        <f>SUMIFS(Table2[3 Triple target achieved],Table2[OrgID],$C38,Table2[Rel_D],$B$10)</f>
        <v>31</v>
      </c>
      <c r="M38" s="234">
        <f t="shared" si="1"/>
        <v>7.0615034168564919E-2</v>
      </c>
      <c r="N38" s="289">
        <v>0.15</v>
      </c>
    </row>
    <row r="39" spans="2:14" ht="15.75" thickBot="1">
      <c r="B39" s="17" t="s">
        <v>166</v>
      </c>
      <c r="C39" s="18" t="s">
        <v>84</v>
      </c>
      <c r="D39" s="447">
        <f t="shared" ref="D39:E39" si="8">SUM(D32:D38)</f>
        <v>46950</v>
      </c>
      <c r="E39" s="448" t="e">
        <f t="shared" si="8"/>
        <v>#REF!</v>
      </c>
      <c r="F39" s="119">
        <f>SUM(F32:F38)</f>
        <v>3359</v>
      </c>
      <c r="G39" s="120">
        <f t="shared" ref="G39:L39" si="9">SUM(G32:G38)</f>
        <v>3142</v>
      </c>
      <c r="H39" s="120">
        <f t="shared" si="9"/>
        <v>2036</v>
      </c>
      <c r="I39" s="235">
        <f t="shared" si="0"/>
        <v>0.64799490770210055</v>
      </c>
      <c r="J39" s="235">
        <v>0.6</v>
      </c>
      <c r="K39" s="239">
        <f t="shared" si="9"/>
        <v>2014</v>
      </c>
      <c r="L39" s="120">
        <f t="shared" si="9"/>
        <v>255</v>
      </c>
      <c r="M39" s="235">
        <f t="shared" si="1"/>
        <v>0.12661370407149949</v>
      </c>
      <c r="N39" s="235">
        <v>0.15</v>
      </c>
    </row>
    <row r="40" spans="2:14">
      <c r="B40" s="77" t="s">
        <v>167</v>
      </c>
      <c r="C40" s="78" t="s">
        <v>85</v>
      </c>
      <c r="D40" s="449">
        <f>SUMIFS(Table2[All currently registered regular patients aged 18+],Table2[OrgID],C40,Table2[Rel_D],Details!$D$61)</f>
        <v>5335</v>
      </c>
      <c r="E40" s="431" t="e">
        <f>SUMIFS(#REF!,#REF!,B40,#REF!,Details!$D$61)</f>
        <v>#REF!</v>
      </c>
      <c r="F40" s="121">
        <f>SUMIFS(Table2[A. Patients on the diabetes register],Table2[OrgID],C40,Table2[Rel_D],Details!$D$61)</f>
        <v>322</v>
      </c>
      <c r="G40" s="122">
        <f>SUMIFS(Table2[Type 2 diabetics],Table2[OrgID],C40,Table2[Rel_D],Details!$D$61)</f>
        <v>304</v>
      </c>
      <c r="H40" s="122">
        <f>SUMIFS(Table2[1 Diabetes review recorded or proxy 12m],Table2[OrgID],$C40,Table2[Rel_D],$B$10)</f>
        <v>208</v>
      </c>
      <c r="I40" s="237">
        <f t="shared" si="0"/>
        <v>0.68421052631578949</v>
      </c>
      <c r="J40" s="240">
        <v>0.6</v>
      </c>
      <c r="K40" s="231">
        <f>SUMIFS(Table2[Eligible for triple target],Table2[OrgID],$C40,Table2[Rel_D],$B$10)</f>
        <v>246</v>
      </c>
      <c r="L40" s="122">
        <f>SUMIFS(Table2[3 Triple target achieved],Table2[OrgID],$C40,Table2[Rel_D],$B$10)</f>
        <v>53</v>
      </c>
      <c r="M40" s="237">
        <f t="shared" si="1"/>
        <v>0.21544715447154472</v>
      </c>
      <c r="N40" s="291">
        <v>0.15</v>
      </c>
    </row>
    <row r="41" spans="2:14">
      <c r="B41" s="73" t="s">
        <v>168</v>
      </c>
      <c r="C41" s="74" t="s">
        <v>86</v>
      </c>
      <c r="D41" s="450">
        <f>SUMIFS(Table2[All currently registered regular patients aged 18+],Table2[OrgID],C41,Table2[Rel_D],Details!$D$61)</f>
        <v>1693</v>
      </c>
      <c r="E41" s="433" t="e">
        <f>SUMIFS(#REF!,#REF!,B41,#REF!,Details!$D$61)</f>
        <v>#REF!</v>
      </c>
      <c r="F41" s="115">
        <f>SUMIFS(Table2[A. Patients on the diabetes register],Table2[OrgID],C41,Table2[Rel_D],Details!$D$61)</f>
        <v>135</v>
      </c>
      <c r="G41" s="116">
        <f>SUMIFS(Table2[Type 2 diabetics],Table2[OrgID],C41,Table2[Rel_D],Details!$D$61)</f>
        <v>131</v>
      </c>
      <c r="H41" s="116">
        <f>SUMIFS(Table2[1 Diabetes review recorded or proxy 12m],Table2[OrgID],$C41,Table2[Rel_D],$B$10)</f>
        <v>115</v>
      </c>
      <c r="I41" s="234">
        <f t="shared" si="0"/>
        <v>0.87786259541984735</v>
      </c>
      <c r="J41" s="241">
        <v>0.6</v>
      </c>
      <c r="K41" s="229">
        <f>SUMIFS(Table2[Eligible for triple target],Table2[OrgID],$C41,Table2[Rel_D],$B$10)</f>
        <v>102</v>
      </c>
      <c r="L41" s="116">
        <f>SUMIFS(Table2[3 Triple target achieved],Table2[OrgID],$C41,Table2[Rel_D],$B$10)</f>
        <v>25</v>
      </c>
      <c r="M41" s="234">
        <f t="shared" si="1"/>
        <v>0.24509803921568626</v>
      </c>
      <c r="N41" s="287">
        <v>0.15</v>
      </c>
    </row>
    <row r="42" spans="2:14">
      <c r="B42" s="73" t="s">
        <v>169</v>
      </c>
      <c r="C42" s="74" t="s">
        <v>87</v>
      </c>
      <c r="D42" s="450">
        <f>SUMIFS(Table2[All currently registered regular patients aged 18+],Table2[OrgID],C42,Table2[Rel_D],Details!$D$61)</f>
        <v>3066</v>
      </c>
      <c r="E42" s="433" t="e">
        <f>SUMIFS(#REF!,#REF!,B42,#REF!,Details!$D$61)</f>
        <v>#REF!</v>
      </c>
      <c r="F42" s="115">
        <f>SUMIFS(Table2[A. Patients on the diabetes register],Table2[OrgID],C42,Table2[Rel_D],Details!$D$61)</f>
        <v>268</v>
      </c>
      <c r="G42" s="116">
        <f>SUMIFS(Table2[Type 2 diabetics],Table2[OrgID],C42,Table2[Rel_D],Details!$D$61)</f>
        <v>255</v>
      </c>
      <c r="H42" s="116">
        <f>SUMIFS(Table2[1 Diabetes review recorded or proxy 12m],Table2[OrgID],$C42,Table2[Rel_D],$B$10)</f>
        <v>173</v>
      </c>
      <c r="I42" s="234">
        <f t="shared" si="0"/>
        <v>0.67843137254901964</v>
      </c>
      <c r="J42" s="241">
        <v>0.6</v>
      </c>
      <c r="K42" s="229">
        <f>SUMIFS(Table2[Eligible for triple target],Table2[OrgID],$C42,Table2[Rel_D],$B$10)</f>
        <v>196</v>
      </c>
      <c r="L42" s="116">
        <f>SUMIFS(Table2[3 Triple target achieved],Table2[OrgID],$C42,Table2[Rel_D],$B$10)</f>
        <v>24</v>
      </c>
      <c r="M42" s="234">
        <f t="shared" si="1"/>
        <v>0.12244897959183673</v>
      </c>
      <c r="N42" s="287">
        <v>0.15</v>
      </c>
    </row>
    <row r="43" spans="2:14">
      <c r="B43" s="73" t="s">
        <v>170</v>
      </c>
      <c r="C43" s="74" t="s">
        <v>88</v>
      </c>
      <c r="D43" s="450">
        <f>SUMIFS(Table2[All currently registered regular patients aged 18+],Table2[OrgID],C43,Table2[Rel_D],Details!$D$61)</f>
        <v>4678</v>
      </c>
      <c r="E43" s="433" t="e">
        <f>SUMIFS(#REF!,#REF!,B43,#REF!,Details!$D$61)</f>
        <v>#REF!</v>
      </c>
      <c r="F43" s="115">
        <f>SUMIFS(Table2[A. Patients on the diabetes register],Table2[OrgID],C43,Table2[Rel_D],Details!$D$61)</f>
        <v>431</v>
      </c>
      <c r="G43" s="116">
        <f>SUMIFS(Table2[Type 2 diabetics],Table2[OrgID],C43,Table2[Rel_D],Details!$D$61)</f>
        <v>409</v>
      </c>
      <c r="H43" s="116">
        <f>SUMIFS(Table2[1 Diabetes review recorded or proxy 12m],Table2[OrgID],$C43,Table2[Rel_D],$B$10)</f>
        <v>289</v>
      </c>
      <c r="I43" s="234">
        <f t="shared" si="0"/>
        <v>0.70660146699266502</v>
      </c>
      <c r="J43" s="241">
        <v>0.6</v>
      </c>
      <c r="K43" s="229">
        <f>SUMIFS(Table2[Eligible for triple target],Table2[OrgID],$C43,Table2[Rel_D],$B$10)</f>
        <v>262</v>
      </c>
      <c r="L43" s="116">
        <f>SUMIFS(Table2[3 Triple target achieved],Table2[OrgID],$C43,Table2[Rel_D],$B$10)</f>
        <v>43</v>
      </c>
      <c r="M43" s="234">
        <f t="shared" si="1"/>
        <v>0.16412213740458015</v>
      </c>
      <c r="N43" s="287">
        <v>0.15</v>
      </c>
    </row>
    <row r="44" spans="2:14">
      <c r="B44" s="73" t="s">
        <v>171</v>
      </c>
      <c r="C44" s="74" t="s">
        <v>89</v>
      </c>
      <c r="D44" s="450">
        <f>SUMIFS(Table2[All currently registered regular patients aged 18+],Table2[OrgID],C44,Table2[Rel_D],Details!$D$61)</f>
        <v>11904</v>
      </c>
      <c r="E44" s="433" t="e">
        <f>SUMIFS(#REF!,#REF!,B44,#REF!,Details!$D$61)</f>
        <v>#REF!</v>
      </c>
      <c r="F44" s="115">
        <f>SUMIFS(Table2[A. Patients on the diabetes register],Table2[OrgID],C44,Table2[Rel_D],Details!$D$61)</f>
        <v>883</v>
      </c>
      <c r="G44" s="116">
        <f>SUMIFS(Table2[Type 2 diabetics],Table2[OrgID],C44,Table2[Rel_D],Details!$D$61)</f>
        <v>838</v>
      </c>
      <c r="H44" s="116">
        <f>SUMIFS(Table2[1 Diabetes review recorded or proxy 12m],Table2[OrgID],$C44,Table2[Rel_D],$B$10)</f>
        <v>607</v>
      </c>
      <c r="I44" s="234">
        <f t="shared" si="0"/>
        <v>0.72434367541766109</v>
      </c>
      <c r="J44" s="241">
        <v>0.6</v>
      </c>
      <c r="K44" s="229">
        <f>SUMIFS(Table2[Eligible for triple target],Table2[OrgID],$C44,Table2[Rel_D],$B$10)</f>
        <v>305</v>
      </c>
      <c r="L44" s="116">
        <f>SUMIFS(Table2[3 Triple target achieved],Table2[OrgID],$C44,Table2[Rel_D],$B$10)</f>
        <v>32</v>
      </c>
      <c r="M44" s="234">
        <f t="shared" si="1"/>
        <v>0.10491803278688525</v>
      </c>
      <c r="N44" s="287">
        <v>0.15</v>
      </c>
    </row>
    <row r="45" spans="2:14" ht="15.75" thickBot="1">
      <c r="B45" s="75" t="s">
        <v>172</v>
      </c>
      <c r="C45" s="76" t="s">
        <v>90</v>
      </c>
      <c r="D45" s="455">
        <f>SUMIFS(Table2[All currently registered regular patients aged 18+],Table2[OrgID],C45,Table2[Rel_D],Details!$D$61)</f>
        <v>2900</v>
      </c>
      <c r="E45" s="435" t="e">
        <f>SUMIFS(#REF!,#REF!,B45,#REF!,Details!$D$61)</f>
        <v>#REF!</v>
      </c>
      <c r="F45" s="117">
        <f>SUMIFS(Table2[A. Patients on the diabetes register],Table2[OrgID],C45,Table2[Rel_D],Details!$D$61)</f>
        <v>213</v>
      </c>
      <c r="G45" s="118">
        <f>SUMIFS(Table2[Type 2 diabetics],Table2[OrgID],C45,Table2[Rel_D],Details!$D$61)</f>
        <v>201</v>
      </c>
      <c r="H45" s="118">
        <f>SUMIFS(Table2[1 Diabetes review recorded or proxy 12m],Table2[OrgID],$C45,Table2[Rel_D],$B$10)</f>
        <v>175</v>
      </c>
      <c r="I45" s="236">
        <f t="shared" si="0"/>
        <v>0.87064676616915426</v>
      </c>
      <c r="J45" s="242">
        <v>0.6</v>
      </c>
      <c r="K45" s="230">
        <f>SUMIFS(Table2[Eligible for triple target],Table2[OrgID],$C45,Table2[Rel_D],$B$10)</f>
        <v>139</v>
      </c>
      <c r="L45" s="118">
        <f>SUMIFS(Table2[3 Triple target achieved],Table2[OrgID],$C45,Table2[Rel_D],$B$10)</f>
        <v>13</v>
      </c>
      <c r="M45" s="236">
        <f t="shared" si="1"/>
        <v>9.3525179856115109E-2</v>
      </c>
      <c r="N45" s="289">
        <v>0.15</v>
      </c>
    </row>
    <row r="46" spans="2:14" ht="15.75" thickBot="1">
      <c r="B46" s="17" t="s">
        <v>173</v>
      </c>
      <c r="C46" s="18" t="s">
        <v>91</v>
      </c>
      <c r="D46" s="447">
        <f t="shared" ref="D46:E46" si="10">SUM(D40:D45)</f>
        <v>29576</v>
      </c>
      <c r="E46" s="448" t="e">
        <f t="shared" si="10"/>
        <v>#REF!</v>
      </c>
      <c r="F46" s="119">
        <f>SUM(F40:F45)</f>
        <v>2252</v>
      </c>
      <c r="G46" s="120">
        <f t="shared" ref="G46:L46" si="11">SUM(G40:G45)</f>
        <v>2138</v>
      </c>
      <c r="H46" s="120">
        <f t="shared" si="11"/>
        <v>1567</v>
      </c>
      <c r="I46" s="235">
        <f t="shared" si="0"/>
        <v>0.73292797006548172</v>
      </c>
      <c r="J46" s="235">
        <v>0.6</v>
      </c>
      <c r="K46" s="239">
        <f t="shared" si="11"/>
        <v>1250</v>
      </c>
      <c r="L46" s="120">
        <f t="shared" si="11"/>
        <v>190</v>
      </c>
      <c r="M46" s="235">
        <f t="shared" si="1"/>
        <v>0.152</v>
      </c>
      <c r="N46" s="235">
        <v>0.15</v>
      </c>
    </row>
    <row r="47" spans="2:14">
      <c r="B47" s="77" t="s">
        <v>174</v>
      </c>
      <c r="C47" s="78" t="s">
        <v>92</v>
      </c>
      <c r="D47" s="449">
        <f>SUMIFS(Table2[All currently registered regular patients aged 18+],Table2[OrgID],C47,Table2[Rel_D],Details!$D$61)</f>
        <v>11854</v>
      </c>
      <c r="E47" s="431" t="e">
        <f>SUMIFS(#REF!,#REF!,B47,#REF!,Details!$D$61)</f>
        <v>#REF!</v>
      </c>
      <c r="F47" s="121">
        <f>SUMIFS(Table2[A. Patients on the diabetes register],Table2[OrgID],C47,Table2[Rel_D],Details!$D$61)</f>
        <v>692</v>
      </c>
      <c r="G47" s="122">
        <f>SUMIFS(Table2[Type 2 diabetics],Table2[OrgID],C47,Table2[Rel_D],Details!$D$61)</f>
        <v>655</v>
      </c>
      <c r="H47" s="122">
        <f>SUMIFS(Table2[1 Diabetes review recorded or proxy 12m],Table2[OrgID],$C47,Table2[Rel_D],$B$10)</f>
        <v>476</v>
      </c>
      <c r="I47" s="237">
        <f t="shared" si="0"/>
        <v>0.72671755725190834</v>
      </c>
      <c r="J47" s="240">
        <v>0.6</v>
      </c>
      <c r="K47" s="231">
        <f>SUMIFS(Table2[Eligible for triple target],Table2[OrgID],$C47,Table2[Rel_D],$B$10)</f>
        <v>231</v>
      </c>
      <c r="L47" s="122">
        <f>SUMIFS(Table2[3 Triple target achieved],Table2[OrgID],$C47,Table2[Rel_D],$B$10)</f>
        <v>24</v>
      </c>
      <c r="M47" s="237">
        <f t="shared" si="1"/>
        <v>0.1038961038961039</v>
      </c>
      <c r="N47" s="287">
        <v>0.15</v>
      </c>
    </row>
    <row r="48" spans="2:14">
      <c r="B48" s="73" t="s">
        <v>175</v>
      </c>
      <c r="C48" s="74" t="s">
        <v>93</v>
      </c>
      <c r="D48" s="450">
        <f>SUMIFS(Table2[All currently registered regular patients aged 18+],Table2[OrgID],C48,Table2[Rel_D],Details!$D$61)</f>
        <v>2159</v>
      </c>
      <c r="E48" s="433" t="e">
        <f>SUMIFS(#REF!,#REF!,B48,#REF!,Details!$D$61)</f>
        <v>#REF!</v>
      </c>
      <c r="F48" s="115">
        <f>SUMIFS(Table2[A. Patients on the diabetes register],Table2[OrgID],C48,Table2[Rel_D],Details!$D$61)</f>
        <v>204</v>
      </c>
      <c r="G48" s="116">
        <f>SUMIFS(Table2[Type 2 diabetics],Table2[OrgID],C48,Table2[Rel_D],Details!$D$61)</f>
        <v>195</v>
      </c>
      <c r="H48" s="116">
        <f>SUMIFS(Table2[1 Diabetes review recorded or proxy 12m],Table2[OrgID],$C48,Table2[Rel_D],$B$10)</f>
        <v>140</v>
      </c>
      <c r="I48" s="234">
        <f t="shared" si="0"/>
        <v>0.71794871794871795</v>
      </c>
      <c r="J48" s="241">
        <v>0.6</v>
      </c>
      <c r="K48" s="229">
        <f>SUMIFS(Table2[Eligible for triple target],Table2[OrgID],$C48,Table2[Rel_D],$B$10)</f>
        <v>83</v>
      </c>
      <c r="L48" s="116">
        <f>SUMIFS(Table2[3 Triple target achieved],Table2[OrgID],$C48,Table2[Rel_D],$B$10)</f>
        <v>8</v>
      </c>
      <c r="M48" s="234">
        <f t="shared" si="1"/>
        <v>9.6385542168674704E-2</v>
      </c>
      <c r="N48" s="287">
        <v>0.15</v>
      </c>
    </row>
    <row r="49" spans="2:14">
      <c r="B49" s="73" t="s">
        <v>226</v>
      </c>
      <c r="C49" s="74" t="s">
        <v>94</v>
      </c>
      <c r="D49" s="450">
        <f>SUMIFS(Table2[All currently registered regular patients aged 18+],Table2[OrgID],C49,Table2[Rel_D],Details!$D$61)</f>
        <v>6202</v>
      </c>
      <c r="E49" s="433" t="e">
        <f>SUMIFS(#REF!,#REF!,B49,#REF!,Details!$D$61)</f>
        <v>#REF!</v>
      </c>
      <c r="F49" s="115">
        <f>SUMIFS(Table2[A. Patients on the diabetes register],Table2[OrgID],C49,Table2[Rel_D],Details!$D$61)</f>
        <v>553</v>
      </c>
      <c r="G49" s="116">
        <f>SUMIFS(Table2[Type 2 diabetics],Table2[OrgID],C49,Table2[Rel_D],Details!$D$61)</f>
        <v>523</v>
      </c>
      <c r="H49" s="116">
        <f>SUMIFS(Table2[1 Diabetes review recorded or proxy 12m],Table2[OrgID],$C49,Table2[Rel_D],$B$10)</f>
        <v>363</v>
      </c>
      <c r="I49" s="234">
        <f t="shared" si="0"/>
        <v>0.6940726577437859</v>
      </c>
      <c r="J49" s="241">
        <v>0.6</v>
      </c>
      <c r="K49" s="229">
        <f>SUMIFS(Table2[Eligible for triple target],Table2[OrgID],$C49,Table2[Rel_D],$B$10)</f>
        <v>360</v>
      </c>
      <c r="L49" s="116">
        <f>SUMIFS(Table2[3 Triple target achieved],Table2[OrgID],$C49,Table2[Rel_D],$B$10)</f>
        <v>45</v>
      </c>
      <c r="M49" s="234">
        <f t="shared" si="1"/>
        <v>0.125</v>
      </c>
      <c r="N49" s="287">
        <v>0.15</v>
      </c>
    </row>
    <row r="50" spans="2:14">
      <c r="B50" s="73" t="s">
        <v>177</v>
      </c>
      <c r="C50" s="74" t="s">
        <v>95</v>
      </c>
      <c r="D50" s="450">
        <f>SUMIFS(Table2[All currently registered regular patients aged 18+],Table2[OrgID],C50,Table2[Rel_D],Details!$D$61)</f>
        <v>4578</v>
      </c>
      <c r="E50" s="433" t="e">
        <f>SUMIFS(#REF!,#REF!,B50,#REF!,Details!$D$61)</f>
        <v>#REF!</v>
      </c>
      <c r="F50" s="115">
        <f>SUMIFS(Table2[A. Patients on the diabetes register],Table2[OrgID],C50,Table2[Rel_D],Details!$D$61)</f>
        <v>321</v>
      </c>
      <c r="G50" s="116">
        <f>SUMIFS(Table2[Type 2 diabetics],Table2[OrgID],C50,Table2[Rel_D],Details!$D$61)</f>
        <v>309</v>
      </c>
      <c r="H50" s="116">
        <f>SUMIFS(Table2[1 Diabetes review recorded or proxy 12m],Table2[OrgID],$C50,Table2[Rel_D],$B$10)</f>
        <v>183</v>
      </c>
      <c r="I50" s="234">
        <f t="shared" si="0"/>
        <v>0.59223300970873782</v>
      </c>
      <c r="J50" s="241">
        <v>0.6</v>
      </c>
      <c r="K50" s="229">
        <f>SUMIFS(Table2[Eligible for triple target],Table2[OrgID],$C50,Table2[Rel_D],$B$10)</f>
        <v>110</v>
      </c>
      <c r="L50" s="116">
        <f>SUMIFS(Table2[3 Triple target achieved],Table2[OrgID],$C50,Table2[Rel_D],$B$10)</f>
        <v>9</v>
      </c>
      <c r="M50" s="234">
        <f t="shared" si="1"/>
        <v>8.1818181818181818E-2</v>
      </c>
      <c r="N50" s="287">
        <v>0.15</v>
      </c>
    </row>
    <row r="51" spans="2:14" ht="15.75" thickBot="1">
      <c r="B51" s="75" t="s">
        <v>178</v>
      </c>
      <c r="C51" s="76" t="s">
        <v>96</v>
      </c>
      <c r="D51" s="455">
        <f>SUMIFS(Table2[All currently registered regular patients aged 18+],Table2[OrgID],C51,Table2[Rel_D],Details!$D$61)</f>
        <v>7066</v>
      </c>
      <c r="E51" s="435" t="e">
        <f>SUMIFS(#REF!,#REF!,B51,#REF!,Details!$D$61)</f>
        <v>#REF!</v>
      </c>
      <c r="F51" s="117">
        <f>SUMIFS(Table2[A. Patients on the diabetes register],Table2[OrgID],C51,Table2[Rel_D],Details!$D$61)</f>
        <v>517</v>
      </c>
      <c r="G51" s="118">
        <f>SUMIFS(Table2[Type 2 diabetics],Table2[OrgID],C51,Table2[Rel_D],Details!$D$61)</f>
        <v>492</v>
      </c>
      <c r="H51" s="118">
        <f>SUMIFS(Table2[1 Diabetes review recorded or proxy 12m],Table2[OrgID],$C51,Table2[Rel_D],$B$10)</f>
        <v>285</v>
      </c>
      <c r="I51" s="236">
        <f t="shared" si="0"/>
        <v>0.57926829268292679</v>
      </c>
      <c r="J51" s="242">
        <v>0.6</v>
      </c>
      <c r="K51" s="230">
        <f>SUMIFS(Table2[Eligible for triple target],Table2[OrgID],$C51,Table2[Rel_D],$B$10)</f>
        <v>358</v>
      </c>
      <c r="L51" s="118">
        <f>SUMIFS(Table2[3 Triple target achieved],Table2[OrgID],$C51,Table2[Rel_D],$B$10)</f>
        <v>35</v>
      </c>
      <c r="M51" s="236">
        <f t="shared" si="1"/>
        <v>9.7765363128491614E-2</v>
      </c>
      <c r="N51" s="287">
        <v>0.15</v>
      </c>
    </row>
    <row r="52" spans="2:14" ht="15.75" thickBot="1">
      <c r="B52" s="17" t="s">
        <v>179</v>
      </c>
      <c r="C52" s="18" t="s">
        <v>97</v>
      </c>
      <c r="D52" s="447">
        <f t="shared" ref="D52:E52" si="12">SUM(D47:D51)</f>
        <v>31859</v>
      </c>
      <c r="E52" s="448" t="e">
        <f t="shared" si="12"/>
        <v>#REF!</v>
      </c>
      <c r="F52" s="119">
        <f>SUM(F47:F51)</f>
        <v>2287</v>
      </c>
      <c r="G52" s="120">
        <f t="shared" ref="G52:L52" si="13">SUM(G47:G51)</f>
        <v>2174</v>
      </c>
      <c r="H52" s="120">
        <f t="shared" si="13"/>
        <v>1447</v>
      </c>
      <c r="I52" s="235">
        <f t="shared" si="0"/>
        <v>0.66559337626494941</v>
      </c>
      <c r="J52" s="235">
        <v>0.6</v>
      </c>
      <c r="K52" s="239">
        <f t="shared" si="13"/>
        <v>1142</v>
      </c>
      <c r="L52" s="120">
        <f t="shared" si="13"/>
        <v>121</v>
      </c>
      <c r="M52" s="235">
        <f t="shared" si="1"/>
        <v>0.10595446584938704</v>
      </c>
      <c r="N52" s="235">
        <v>0.15</v>
      </c>
    </row>
    <row r="53" spans="2:14">
      <c r="B53" s="77" t="s">
        <v>180</v>
      </c>
      <c r="C53" s="79" t="s">
        <v>98</v>
      </c>
      <c r="D53" s="449">
        <f>SUMIFS(Table2[All currently registered regular patients aged 18+],Table2[OrgID],C53,Table2[Rel_D],Details!$D$61)</f>
        <v>5360</v>
      </c>
      <c r="E53" s="431" t="e">
        <f>SUMIFS(#REF!,#REF!,B53,#REF!,Details!$D$61)</f>
        <v>#REF!</v>
      </c>
      <c r="F53" s="121">
        <f>SUMIFS(Table2[A. Patients on the diabetes register],Table2[OrgID],C53,Table2[Rel_D],Details!$D$61)</f>
        <v>445</v>
      </c>
      <c r="G53" s="122">
        <f>SUMIFS(Table2[Type 2 diabetics],Table2[OrgID],C53,Table2[Rel_D],Details!$D$61)</f>
        <v>423</v>
      </c>
      <c r="H53" s="122">
        <f>SUMIFS(Table2[1 Diabetes review recorded or proxy 12m],Table2[OrgID],$C53,Table2[Rel_D],$B$10)</f>
        <v>303</v>
      </c>
      <c r="I53" s="237">
        <f t="shared" si="0"/>
        <v>0.71631205673758869</v>
      </c>
      <c r="J53" s="240">
        <v>0.6</v>
      </c>
      <c r="K53" s="231">
        <f>SUMIFS(Table2[Eligible for triple target],Table2[OrgID],$C53,Table2[Rel_D],$B$10)</f>
        <v>291</v>
      </c>
      <c r="L53" s="122">
        <f>SUMIFS(Table2[3 Triple target achieved],Table2[OrgID],$C53,Table2[Rel_D],$B$10)</f>
        <v>34</v>
      </c>
      <c r="M53" s="237">
        <f t="shared" si="1"/>
        <v>0.11683848797250859</v>
      </c>
      <c r="N53" s="287">
        <v>0.15</v>
      </c>
    </row>
    <row r="54" spans="2:14">
      <c r="B54" s="73" t="s">
        <v>221</v>
      </c>
      <c r="C54" s="74" t="s">
        <v>99</v>
      </c>
      <c r="D54" s="450">
        <f>SUMIFS(Table2[All currently registered regular patients aged 18+],Table2[OrgID],C54,Table2[Rel_D],Details!$D$61)</f>
        <v>6306</v>
      </c>
      <c r="E54" s="433" t="e">
        <f>SUMIFS(#REF!,#REF!,B54,#REF!,Details!$D$61)</f>
        <v>#REF!</v>
      </c>
      <c r="F54" s="115">
        <f>SUMIFS(Table2[A. Patients on the diabetes register],Table2[OrgID],C54,Table2[Rel_D],Details!$D$61)</f>
        <v>556</v>
      </c>
      <c r="G54" s="116">
        <f>SUMIFS(Table2[Type 2 diabetics],Table2[OrgID],C54,Table2[Rel_D],Details!$D$61)</f>
        <v>538</v>
      </c>
      <c r="H54" s="116">
        <f>SUMIFS(Table2[1 Diabetes review recorded or proxy 12m],Table2[OrgID],$C54,Table2[Rel_D],$B$10)</f>
        <v>489</v>
      </c>
      <c r="I54" s="234">
        <f t="shared" si="0"/>
        <v>0.90892193308550184</v>
      </c>
      <c r="J54" s="241">
        <v>0.6</v>
      </c>
      <c r="K54" s="229">
        <f>SUMIFS(Table2[Eligible for triple target],Table2[OrgID],$C54,Table2[Rel_D],$B$10)</f>
        <v>454</v>
      </c>
      <c r="L54" s="116">
        <f>SUMIFS(Table2[3 Triple target achieved],Table2[OrgID],$C54,Table2[Rel_D],$B$10)</f>
        <v>141</v>
      </c>
      <c r="M54" s="234">
        <f t="shared" si="1"/>
        <v>0.31057268722466963</v>
      </c>
      <c r="N54" s="287">
        <v>0.15</v>
      </c>
    </row>
    <row r="55" spans="2:14">
      <c r="B55" s="73" t="s">
        <v>182</v>
      </c>
      <c r="C55" s="74" t="s">
        <v>100</v>
      </c>
      <c r="D55" s="450">
        <f>SUMIFS(Table2[All currently registered regular patients aged 18+],Table2[OrgID],C55,Table2[Rel_D],Details!$D$61)</f>
        <v>5695</v>
      </c>
      <c r="E55" s="433" t="e">
        <f>SUMIFS(#REF!,#REF!,B55,#REF!,Details!$D$61)</f>
        <v>#REF!</v>
      </c>
      <c r="F55" s="115">
        <f>SUMIFS(Table2[A. Patients on the diabetes register],Table2[OrgID],C55,Table2[Rel_D],Details!$D$61)</f>
        <v>452</v>
      </c>
      <c r="G55" s="116">
        <f>SUMIFS(Table2[Type 2 diabetics],Table2[OrgID],C55,Table2[Rel_D],Details!$D$61)</f>
        <v>425</v>
      </c>
      <c r="H55" s="116">
        <f>SUMIFS(Table2[1 Diabetes review recorded or proxy 12m],Table2[OrgID],$C55,Table2[Rel_D],$B$10)</f>
        <v>189</v>
      </c>
      <c r="I55" s="234">
        <f t="shared" si="0"/>
        <v>0.44470588235294117</v>
      </c>
      <c r="J55" s="241">
        <v>0.6</v>
      </c>
      <c r="K55" s="229">
        <f>SUMIFS(Table2[Eligible for triple target],Table2[OrgID],$C55,Table2[Rel_D],$B$10)</f>
        <v>328</v>
      </c>
      <c r="L55" s="116">
        <f>SUMIFS(Table2[3 Triple target achieved],Table2[OrgID],$C55,Table2[Rel_D],$B$10)</f>
        <v>33</v>
      </c>
      <c r="M55" s="234">
        <f t="shared" si="1"/>
        <v>0.10060975609756098</v>
      </c>
      <c r="N55" s="287">
        <v>0.15</v>
      </c>
    </row>
    <row r="56" spans="2:14">
      <c r="B56" s="73" t="s">
        <v>183</v>
      </c>
      <c r="C56" s="74" t="s">
        <v>101</v>
      </c>
      <c r="D56" s="450">
        <f>SUMIFS(Table2[All currently registered regular patients aged 18+],Table2[OrgID],C56,Table2[Rel_D],Details!$D$61)</f>
        <v>4725</v>
      </c>
      <c r="E56" s="456" t="e">
        <f>SUMIFS(#REF!,#REF!,B56,#REF!,Details!$D$61)</f>
        <v>#REF!</v>
      </c>
      <c r="F56" s="115">
        <f>SUMIFS(Table2[A. Patients on the diabetes register],Table2[OrgID],C56,Table2[Rel_D],Details!$D$61)</f>
        <v>241</v>
      </c>
      <c r="G56" s="116">
        <f>SUMIFS(Table2[Type 2 diabetics],Table2[OrgID],C56,Table2[Rel_D],Details!$D$61)</f>
        <v>223</v>
      </c>
      <c r="H56" s="116">
        <f>SUMIFS(Table2[1 Diabetes review recorded or proxy 12m],Table2[OrgID],$C56,Table2[Rel_D],$B$10)</f>
        <v>214</v>
      </c>
      <c r="I56" s="234">
        <f t="shared" si="0"/>
        <v>0.95964125560538116</v>
      </c>
      <c r="J56" s="241">
        <v>0.6</v>
      </c>
      <c r="K56" s="229">
        <f>SUMIFS(Table2[Eligible for triple target],Table2[OrgID],$C56,Table2[Rel_D],$B$10)</f>
        <v>171</v>
      </c>
      <c r="L56" s="116">
        <f>SUMIFS(Table2[3 Triple target achieved],Table2[OrgID],$C56,Table2[Rel_D],$B$10)</f>
        <v>44</v>
      </c>
      <c r="M56" s="234">
        <f t="shared" si="1"/>
        <v>0.25730994152046782</v>
      </c>
      <c r="N56" s="287">
        <v>0.15</v>
      </c>
    </row>
    <row r="57" spans="2:14" ht="15.75" thickBot="1">
      <c r="B57" s="75" t="s">
        <v>184</v>
      </c>
      <c r="C57" s="76" t="s">
        <v>102</v>
      </c>
      <c r="D57" s="455">
        <f>SUMIFS(Table2[All currently registered regular patients aged 18+],Table2[OrgID],C57,Table2[Rel_D],Details!$D$61)</f>
        <v>12833</v>
      </c>
      <c r="E57" s="435" t="e">
        <f>SUMIFS(#REF!,#REF!,B57,#REF!,Details!$D$61)</f>
        <v>#REF!</v>
      </c>
      <c r="F57" s="117">
        <f>SUMIFS(Table2[A. Patients on the diabetes register],Table2[OrgID],C57,Table2[Rel_D],Details!$D$61)</f>
        <v>774</v>
      </c>
      <c r="G57" s="118">
        <f>SUMIFS(Table2[Type 2 diabetics],Table2[OrgID],C57,Table2[Rel_D],Details!$D$61)</f>
        <v>717</v>
      </c>
      <c r="H57" s="118">
        <f>SUMIFS(Table2[1 Diabetes review recorded or proxy 12m],Table2[OrgID],$C57,Table2[Rel_D],$B$10)</f>
        <v>537</v>
      </c>
      <c r="I57" s="236">
        <f t="shared" si="0"/>
        <v>0.7489539748953975</v>
      </c>
      <c r="J57" s="242">
        <v>0.6</v>
      </c>
      <c r="K57" s="230">
        <f>SUMIFS(Table2[Eligible for triple target],Table2[OrgID],$C57,Table2[Rel_D],$B$10)</f>
        <v>573</v>
      </c>
      <c r="L57" s="118">
        <f>SUMIFS(Table2[3 Triple target achieved],Table2[OrgID],$C57,Table2[Rel_D],$B$10)</f>
        <v>91</v>
      </c>
      <c r="M57" s="236">
        <f t="shared" si="1"/>
        <v>0.15881326352530542</v>
      </c>
      <c r="N57" s="287">
        <v>0.15</v>
      </c>
    </row>
    <row r="58" spans="2:14" ht="15.75" thickBot="1">
      <c r="B58" s="17" t="s">
        <v>185</v>
      </c>
      <c r="C58" s="18" t="s">
        <v>103</v>
      </c>
      <c r="D58" s="447">
        <f t="shared" ref="D58:E58" si="14">SUM(D53:D57)</f>
        <v>34919</v>
      </c>
      <c r="E58" s="448" t="e">
        <f t="shared" si="14"/>
        <v>#REF!</v>
      </c>
      <c r="F58" s="119">
        <f>SUM(F53:F57)</f>
        <v>2468</v>
      </c>
      <c r="G58" s="120">
        <f t="shared" ref="G58:L58" si="15">SUM(G53:G57)</f>
        <v>2326</v>
      </c>
      <c r="H58" s="120">
        <f t="shared" si="15"/>
        <v>1732</v>
      </c>
      <c r="I58" s="235">
        <f t="shared" si="0"/>
        <v>0.74462596732588138</v>
      </c>
      <c r="J58" s="235">
        <v>0.6</v>
      </c>
      <c r="K58" s="239">
        <f t="shared" si="15"/>
        <v>1817</v>
      </c>
      <c r="L58" s="120">
        <f t="shared" si="15"/>
        <v>343</v>
      </c>
      <c r="M58" s="235">
        <f t="shared" si="1"/>
        <v>0.1887727022564667</v>
      </c>
      <c r="N58" s="235">
        <v>0.15</v>
      </c>
    </row>
    <row r="59" spans="2:14" ht="19.5" thickBot="1">
      <c r="B59" s="146" t="s">
        <v>186</v>
      </c>
      <c r="C59" s="147" t="s">
        <v>37</v>
      </c>
      <c r="D59" s="457">
        <f>SUM(D58,D52,D46,D39,D31,D27,D21)</f>
        <v>253124</v>
      </c>
      <c r="E59" s="458"/>
      <c r="F59" s="148">
        <f>SUM(F58,F52,F46,F39,F31,F27,F21)</f>
        <v>18171</v>
      </c>
      <c r="G59" s="149">
        <f t="shared" ref="G59:L59" si="16">SUM(G58,G52,G46,G39,G31,G27,G21)</f>
        <v>17112</v>
      </c>
      <c r="H59" s="149">
        <f t="shared" si="16"/>
        <v>11903</v>
      </c>
      <c r="I59" s="150">
        <f t="shared" si="0"/>
        <v>0.69559373539036928</v>
      </c>
      <c r="J59" s="150">
        <v>0.6</v>
      </c>
      <c r="K59" s="149">
        <f t="shared" si="16"/>
        <v>10491</v>
      </c>
      <c r="L59" s="149">
        <f t="shared" si="16"/>
        <v>1506</v>
      </c>
      <c r="M59" s="150">
        <f t="shared" si="1"/>
        <v>0.14355161567057478</v>
      </c>
      <c r="N59" s="150">
        <v>0.15</v>
      </c>
    </row>
  </sheetData>
  <mergeCells count="51">
    <mergeCell ref="D57:E57"/>
    <mergeCell ref="D58:E58"/>
    <mergeCell ref="D59:E59"/>
    <mergeCell ref="F10:N10"/>
    <mergeCell ref="D51:E51"/>
    <mergeCell ref="D52:E52"/>
    <mergeCell ref="D53:E53"/>
    <mergeCell ref="D54:E54"/>
    <mergeCell ref="D55:E55"/>
    <mergeCell ref="D56:E56"/>
    <mergeCell ref="D45:E45"/>
    <mergeCell ref="D46:E46"/>
    <mergeCell ref="D47:E47"/>
    <mergeCell ref="D48:E48"/>
    <mergeCell ref="D49:E49"/>
    <mergeCell ref="D50:E50"/>
    <mergeCell ref="D44:E44"/>
    <mergeCell ref="D33:E33"/>
    <mergeCell ref="D34:E34"/>
    <mergeCell ref="D35:E35"/>
    <mergeCell ref="D36:E36"/>
    <mergeCell ref="D37:E37"/>
    <mergeCell ref="D38:E38"/>
    <mergeCell ref="D39:E39"/>
    <mergeCell ref="D40:E40"/>
    <mergeCell ref="D41:E41"/>
    <mergeCell ref="D42:E42"/>
    <mergeCell ref="D43:E43"/>
    <mergeCell ref="D32:E32"/>
    <mergeCell ref="D21:E21"/>
    <mergeCell ref="D22:E22"/>
    <mergeCell ref="D23:E23"/>
    <mergeCell ref="D24:E24"/>
    <mergeCell ref="D25:E25"/>
    <mergeCell ref="D26:E26"/>
    <mergeCell ref="D27:E27"/>
    <mergeCell ref="D28:E28"/>
    <mergeCell ref="D29:E29"/>
    <mergeCell ref="D30:E30"/>
    <mergeCell ref="D31:E31"/>
    <mergeCell ref="D20:E20"/>
    <mergeCell ref="D12:E12"/>
    <mergeCell ref="H12:I12"/>
    <mergeCell ref="L12:M12"/>
    <mergeCell ref="D13:E13"/>
    <mergeCell ref="D14:E14"/>
    <mergeCell ref="D15:E15"/>
    <mergeCell ref="D16:E16"/>
    <mergeCell ref="D17:E17"/>
    <mergeCell ref="D18:E18"/>
    <mergeCell ref="D19:E19"/>
  </mergeCells>
  <pageMargins left="0.7" right="0.7" top="0.75" bottom="0.75" header="0.3" footer="0.3"/>
  <drawing r:id="rId1"/>
  <legacyDrawing r:id="rId2"/>
  <controls>
    <mc:AlternateContent xmlns:mc="http://schemas.openxmlformats.org/markup-compatibility/2006">
      <mc:Choice Requires="x14">
        <control shapeId="13313" r:id="rId3" name="ComboBox1">
          <controlPr defaultSize="0" autoLine="0" linkedCell="Control!E5" listFillRange="Control!B2:C14" r:id="rId4">
            <anchor moveWithCells="1">
              <from>
                <xdr:col>4</xdr:col>
                <xdr:colOff>657225</xdr:colOff>
                <xdr:row>0</xdr:row>
                <xdr:rowOff>76200</xdr:rowOff>
              </from>
              <to>
                <xdr:col>5</xdr:col>
                <xdr:colOff>819150</xdr:colOff>
                <xdr:row>1</xdr:row>
                <xdr:rowOff>161925</xdr:rowOff>
              </to>
            </anchor>
          </controlPr>
        </control>
      </mc:Choice>
      <mc:Fallback>
        <control shapeId="13313" r:id="rId3" name="ComboBox1"/>
      </mc:Fallback>
    </mc:AlternateContent>
  </controls>
  <extLst>
    <ext xmlns:x14="http://schemas.microsoft.com/office/spreadsheetml/2009/9/main" uri="{78C0D931-6437-407d-A8EE-F0AAD7539E65}">
      <x14:conditionalFormattings>
        <x14:conditionalFormatting xmlns:xm="http://schemas.microsoft.com/office/excel/2006/main">
          <x14:cfRule type="iconSet" priority="2" id="{226146C6-E9E6-4770-8FCA-94B6DF7BDC06}">
            <x14:iconSet custom="1">
              <x14:cfvo type="percent">
                <xm:f>0</xm:f>
              </x14:cfvo>
              <x14:cfvo type="num">
                <xm:f>0</xm:f>
              </x14:cfvo>
              <x14:cfvo type="num">
                <xm:f>0.6</xm:f>
              </x14:cfvo>
              <x14:cfIcon iconSet="NoIcons" iconId="0"/>
              <x14:cfIcon iconSet="3TrafficLights1" iconId="0"/>
              <x14:cfIcon iconSet="3TrafficLights1" iconId="2"/>
            </x14:iconSet>
          </x14:cfRule>
          <xm:sqref>I13:I20 I22:I26 I28:I30 I32:I38 I40:I45 I47:I51 I53:I57</xm:sqref>
        </x14:conditionalFormatting>
        <x14:conditionalFormatting xmlns:xm="http://schemas.microsoft.com/office/excel/2006/main">
          <x14:cfRule type="iconSet" priority="1" id="{39BF4192-D2E4-484C-8CD9-57C7A49E5816}">
            <x14:iconSet custom="1">
              <x14:cfvo type="percent">
                <xm:f>0</xm:f>
              </x14:cfvo>
              <x14:cfvo type="num">
                <xm:f>0</xm:f>
              </x14:cfvo>
              <x14:cfvo type="num">
                <xm:f>0.15</xm:f>
              </x14:cfvo>
              <x14:cfIcon iconSet="NoIcons" iconId="0"/>
              <x14:cfIcon iconSet="3TrafficLights1" iconId="0"/>
              <x14:cfIcon iconSet="3TrafficLights1" iconId="2"/>
            </x14:iconSet>
          </x14:cfRule>
          <xm:sqref>M13:M20 M22:M26 M28:M30 M32:M38 M40:M45 M47:M51 M53:M57</xm:sqref>
        </x14:conditionalFormatting>
      </x14:conditionalFormattings>
    </ext>
    <ext xmlns:x14="http://schemas.microsoft.com/office/spreadsheetml/2009/9/main" uri="{A8765BA9-456A-4dab-B4F3-ACF838C121DE}">
      <x14:slicerList>
        <x14:slicer r:id="rId5"/>
      </x14:slicerList>
    </ext>
  </extLs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D54149-04DC-4EC6-AC52-47AA2D01C0AA}">
  <sheetPr codeName="Sheet3"/>
  <dimension ref="B2:V59"/>
  <sheetViews>
    <sheetView showGridLines="0" tabSelected="1" zoomScale="90" zoomScaleNormal="90" workbookViewId="0">
      <pane ySplit="2" topLeftCell="C11" activePane="bottomLeft" state="frozen"/>
      <selection pane="bottomLeft" activeCell="F25" sqref="F25"/>
    </sheetView>
  </sheetViews>
  <sheetFormatPr defaultRowHeight="15"/>
  <cols>
    <col min="1" max="1" width="1.5703125" customWidth="1"/>
    <col min="2" max="2" width="52.7109375" bestFit="1" customWidth="1"/>
    <col min="4" max="4" width="15.28515625" customWidth="1"/>
    <col min="5" max="5" width="16.140625" customWidth="1"/>
    <col min="6" max="6" width="26.7109375" customWidth="1"/>
    <col min="7" max="7" width="19.7109375" customWidth="1"/>
    <col min="8" max="8" width="15.5703125" customWidth="1"/>
    <col min="9" max="9" width="16.140625" customWidth="1"/>
    <col min="10" max="10" width="19.7109375" customWidth="1"/>
    <col min="11" max="11" width="17.85546875" customWidth="1"/>
    <col min="12" max="12" width="9.5703125" customWidth="1"/>
    <col min="13" max="13" width="14.85546875" customWidth="1"/>
    <col min="14" max="14" width="18.85546875" customWidth="1"/>
  </cols>
  <sheetData>
    <row r="2" spans="2:22" ht="15.75">
      <c r="G2" s="285"/>
    </row>
    <row r="3" spans="2:22" ht="20.25" customHeight="1"/>
    <row r="4" spans="2:22" ht="38.25" customHeight="1"/>
    <row r="5" spans="2:22" ht="38.25" customHeight="1"/>
    <row r="6" spans="2:22" ht="38.25" customHeight="1"/>
    <row r="7" spans="2:22" ht="38.25" customHeight="1"/>
    <row r="8" spans="2:22" ht="38.25" customHeight="1"/>
    <row r="9" spans="2:22" ht="38.25" customHeight="1"/>
    <row r="10" spans="2:22" ht="16.5" thickBot="1">
      <c r="B10" s="392" t="str">
        <f>Control!F2</f>
        <v>01/04/2022</v>
      </c>
      <c r="F10" s="487" t="s">
        <v>107</v>
      </c>
      <c r="G10" s="488"/>
      <c r="H10" s="488"/>
      <c r="I10" s="488"/>
      <c r="J10" s="488"/>
      <c r="K10" s="488"/>
      <c r="L10" s="488"/>
      <c r="M10" s="488"/>
      <c r="N10" s="488"/>
      <c r="O10" s="245"/>
    </row>
    <row r="11" spans="2:22" ht="16.5" thickBot="1">
      <c r="F11" s="226"/>
      <c r="G11" s="490" t="s">
        <v>111</v>
      </c>
      <c r="H11" s="490"/>
      <c r="I11" s="490"/>
      <c r="J11" s="490"/>
      <c r="K11" s="490"/>
      <c r="L11" s="490"/>
      <c r="M11" s="490"/>
      <c r="N11" s="490"/>
      <c r="O11" s="246"/>
    </row>
    <row r="12" spans="2:22" ht="102.75" customHeight="1" thickBot="1">
      <c r="B12" s="13" t="s">
        <v>113</v>
      </c>
      <c r="C12" s="14" t="s">
        <v>114</v>
      </c>
      <c r="D12" s="495" t="s">
        <v>115</v>
      </c>
      <c r="E12" s="496"/>
      <c r="F12" s="210" t="s">
        <v>107</v>
      </c>
      <c r="G12" s="484" t="s">
        <v>121</v>
      </c>
      <c r="H12" s="485"/>
      <c r="I12" s="283" t="s">
        <v>227</v>
      </c>
      <c r="J12" s="486" t="s">
        <v>123</v>
      </c>
      <c r="K12" s="489"/>
      <c r="L12" s="283" t="s">
        <v>228</v>
      </c>
      <c r="M12" s="485" t="s">
        <v>125</v>
      </c>
      <c r="N12" s="486"/>
      <c r="O12" s="283" t="s">
        <v>229</v>
      </c>
    </row>
    <row r="13" spans="2:22" ht="15" customHeight="1">
      <c r="B13" s="71" t="s">
        <v>141</v>
      </c>
      <c r="C13" s="72" t="s">
        <v>52</v>
      </c>
      <c r="D13" s="449">
        <f>SUMIFS(Table2[All currently registered regular patients aged 18+],Table2[OrgID],C13,Table2[Rel_D],Details!$D$61)</f>
        <v>3093</v>
      </c>
      <c r="E13" s="497" t="e">
        <f>SUMIFS(#REF!,#REF!,B13,#REF!,Details!$D$61)</f>
        <v>#REF!</v>
      </c>
      <c r="F13" s="113">
        <f>SUMIFS(Table2[B. Patients on the COPD register],Table2[OrgID],$C13,Table2[Rel_D],$B$10)</f>
        <v>105</v>
      </c>
      <c r="G13" s="231">
        <f>SUMIFS(Table2[4 COPD review coded or proxy (MRC) 12m],Table2[OrgID],$C13,Table2[Rel_D],$B$10)</f>
        <v>98</v>
      </c>
      <c r="H13" s="125">
        <f>IFERROR(G13/F13,"-")</f>
        <v>0.93333333333333335</v>
      </c>
      <c r="I13" s="240">
        <v>0.8</v>
      </c>
      <c r="J13" s="122">
        <f>SUMIFS(Table2[6 CAT Score &amp; MRC scale recorded],Table2[OrgID],$C13,Table2[Rel_D],$B$10)</f>
        <v>32</v>
      </c>
      <c r="K13" s="125">
        <f>IFERROR(J13/G13, "-")</f>
        <v>0.32653061224489793</v>
      </c>
      <c r="L13" s="240">
        <v>0.57999999999999996</v>
      </c>
      <c r="M13" s="122">
        <f>SUMIFS(Table2[7 COPD action plan recorded 12m],Table2[OrgID],$C13,Table2[Rel_D],$B$10)</f>
        <v>71</v>
      </c>
      <c r="N13" s="237">
        <f t="shared" ref="N13:N59" si="0">IFERROR(M13/G13,"-")</f>
        <v>0.72448979591836737</v>
      </c>
      <c r="O13" s="248">
        <v>0.55000000000000004</v>
      </c>
      <c r="Q13" s="5"/>
      <c r="R13" s="5"/>
      <c r="S13" s="5"/>
      <c r="T13" s="5"/>
      <c r="U13" s="285"/>
    </row>
    <row r="14" spans="2:22" ht="15" customHeight="1">
      <c r="B14" s="73" t="s">
        <v>142</v>
      </c>
      <c r="C14" s="74" t="s">
        <v>54</v>
      </c>
      <c r="D14" s="450">
        <f>SUMIFS(Table2[All currently registered regular patients aged 18+],Table2[OrgID],C14,Table2[Rel_D],Details!$D$61)</f>
        <v>6563</v>
      </c>
      <c r="E14" s="456" t="e">
        <f>SUMIFS(#REF!,#REF!,B14,#REF!,Details!$D$61)</f>
        <v>#REF!</v>
      </c>
      <c r="F14" s="115">
        <f>SUMIFS(Table2[B. Patients on the COPD register],Table2[OrgID],$C14,Table2[Rel_D],$B$10)</f>
        <v>96</v>
      </c>
      <c r="G14" s="229">
        <f>SUMIFS(Table2[4 COPD review coded or proxy (MRC) 12m],Table2[OrgID],$C14,Table2[Rel_D],$B$10)</f>
        <v>82</v>
      </c>
      <c r="H14" s="123">
        <f t="shared" ref="H14:H59" si="1">IFERROR(G14/F14,"-")</f>
        <v>0.85416666666666663</v>
      </c>
      <c r="I14" s="241">
        <v>0.8</v>
      </c>
      <c r="J14" s="116">
        <f>SUMIFS(Table2[6 CAT Score &amp; MRC scale recorded],Table2[OrgID],$C14,Table2[Rel_D],$B$10)</f>
        <v>73</v>
      </c>
      <c r="K14" s="123">
        <f t="shared" ref="K14:K59" si="2">IFERROR(J14/G14, "-")</f>
        <v>0.8902439024390244</v>
      </c>
      <c r="L14" s="241">
        <v>0.57999999999999996</v>
      </c>
      <c r="M14" s="116">
        <f>SUMIFS(Table2[7 COPD action plan recorded 12m],Table2[OrgID],$C14,Table2[Rel_D],$B$10)</f>
        <v>58</v>
      </c>
      <c r="N14" s="234">
        <f t="shared" si="0"/>
        <v>0.70731707317073167</v>
      </c>
      <c r="O14" s="249">
        <v>0.55000000000000004</v>
      </c>
      <c r="Q14" s="5"/>
      <c r="R14" s="5"/>
      <c r="S14" s="5"/>
      <c r="T14" s="5"/>
      <c r="U14" s="5"/>
      <c r="V14" s="5"/>
    </row>
    <row r="15" spans="2:22" ht="15" customHeight="1">
      <c r="B15" s="73" t="s">
        <v>34</v>
      </c>
      <c r="C15" s="74" t="s">
        <v>57</v>
      </c>
      <c r="D15" s="450">
        <f>IF(COUNTIFS(Table2[OrgID],C15,Table2[Rel_D],Details!$D$61) =0,"-",SUMIFS(Table2[All currently registered regular patients aged 18+],Table2[OrgID],C15,Table2[Rel_D],Details!$D$61))</f>
        <v>4056</v>
      </c>
      <c r="E15" s="456" t="e">
        <f>SUMIFS(#REF!,#REF!,B15,#REF!,Details!$D$61)</f>
        <v>#REF!</v>
      </c>
      <c r="F15" s="115">
        <f>SUMIFS(Table2[B. Patients on the COPD register],Table2[OrgID],$C15,Table2[Rel_D],$B$10)</f>
        <v>71</v>
      </c>
      <c r="G15" s="229">
        <f>SUMIFS(Table2[4 COPD review coded or proxy (MRC) 12m],Table2[OrgID],$C15,Table2[Rel_D],$B$10)</f>
        <v>66</v>
      </c>
      <c r="H15" s="123">
        <f t="shared" ref="H15" si="3">IFERROR(G15/F15,"-")</f>
        <v>0.92957746478873238</v>
      </c>
      <c r="I15" s="241">
        <v>0.8</v>
      </c>
      <c r="J15" s="116">
        <f>SUMIFS(Table2[6 CAT Score &amp; MRC scale recorded],Table2[OrgID],$C15,Table2[Rel_D],$B$10)</f>
        <v>0</v>
      </c>
      <c r="K15" s="123">
        <f t="shared" ref="K15" si="4">IFERROR(J15/G15, "-")</f>
        <v>0</v>
      </c>
      <c r="L15" s="241">
        <v>0.57999999999999996</v>
      </c>
      <c r="M15" s="116">
        <f>SUMIFS(Table2[7 COPD action plan recorded 12m],Table2[OrgID],$C15,Table2[Rel_D],$B$10)</f>
        <v>5</v>
      </c>
      <c r="N15" s="234">
        <f t="shared" ref="N15" si="5">IFERROR(M15/G15,"-")</f>
        <v>7.575757575757576E-2</v>
      </c>
      <c r="O15" s="249">
        <v>0.55000000000000004</v>
      </c>
      <c r="Q15" s="4"/>
      <c r="R15" s="4"/>
      <c r="S15" s="4"/>
      <c r="T15" s="4"/>
      <c r="U15" s="4"/>
      <c r="V15" s="4"/>
    </row>
    <row r="16" spans="2:22" ht="15" customHeight="1">
      <c r="B16" s="73" t="s">
        <v>224</v>
      </c>
      <c r="C16" s="74" t="s">
        <v>61</v>
      </c>
      <c r="D16" s="450">
        <f>SUMIFS(Table2[All currently registered regular patients aged 18+],Table2[OrgID],C16,Table2[Rel_D],Details!$D$61)</f>
        <v>7294</v>
      </c>
      <c r="E16" s="433" t="e">
        <f>SUMIFS(#REF!,#REF!,B16,#REF!,Details!$D$61)</f>
        <v>#REF!</v>
      </c>
      <c r="F16" s="115">
        <f>SUMIFS(Table2[B. Patients on the COPD register],Table2[OrgID],$C16,Table2[Rel_D],$B$10)</f>
        <v>104</v>
      </c>
      <c r="G16" s="229">
        <f>SUMIFS(Table2[4 COPD review coded or proxy (MRC) 12m],Table2[OrgID],$C16,Table2[Rel_D],$B$10)</f>
        <v>81</v>
      </c>
      <c r="H16" s="123">
        <f t="shared" si="1"/>
        <v>0.77884615384615385</v>
      </c>
      <c r="I16" s="241">
        <v>0.8</v>
      </c>
      <c r="J16" s="116">
        <f>SUMIFS(Table2[6 CAT Score &amp; MRC scale recorded],Table2[OrgID],$C16,Table2[Rel_D],$B$10)</f>
        <v>61</v>
      </c>
      <c r="K16" s="123">
        <f t="shared" si="2"/>
        <v>0.75308641975308643</v>
      </c>
      <c r="L16" s="241">
        <v>0.57999999999999996</v>
      </c>
      <c r="M16" s="116">
        <f>SUMIFS(Table2[7 COPD action plan recorded 12m],Table2[OrgID],$C16,Table2[Rel_D],$B$10)</f>
        <v>13</v>
      </c>
      <c r="N16" s="234">
        <f t="shared" si="0"/>
        <v>0.16049382716049382</v>
      </c>
      <c r="O16" s="249">
        <v>0.55000000000000004</v>
      </c>
    </row>
    <row r="17" spans="2:15">
      <c r="B17" s="73" t="s">
        <v>144</v>
      </c>
      <c r="C17" s="74" t="s">
        <v>64</v>
      </c>
      <c r="D17" s="450">
        <f>SUMIFS(Table2[All currently registered regular patients aged 18+],Table2[OrgID],C17,Table2[Rel_D],Details!$D$61)</f>
        <v>5457</v>
      </c>
      <c r="E17" s="433" t="e">
        <f>SUMIFS(#REF!,#REF!,B17,#REF!,Details!$D$61)</f>
        <v>#REF!</v>
      </c>
      <c r="F17" s="115">
        <f>SUMIFS(Table2[B. Patients on the COPD register],Table2[OrgID],$C17,Table2[Rel_D],$B$10)</f>
        <v>26</v>
      </c>
      <c r="G17" s="229">
        <f>SUMIFS(Table2[4 COPD review coded or proxy (MRC) 12m],Table2[OrgID],$C17,Table2[Rel_D],$B$10)</f>
        <v>8</v>
      </c>
      <c r="H17" s="123">
        <f t="shared" si="1"/>
        <v>0.30769230769230771</v>
      </c>
      <c r="I17" s="241">
        <v>0.8</v>
      </c>
      <c r="J17" s="116">
        <f>SUMIFS(Table2[6 CAT Score &amp; MRC scale recorded],Table2[OrgID],$C17,Table2[Rel_D],$B$10)</f>
        <v>4</v>
      </c>
      <c r="K17" s="123">
        <f t="shared" si="2"/>
        <v>0.5</v>
      </c>
      <c r="L17" s="241">
        <v>0.57999999999999996</v>
      </c>
      <c r="M17" s="116">
        <f>SUMIFS(Table2[7 COPD action plan recorded 12m],Table2[OrgID],$C17,Table2[Rel_D],$B$10)</f>
        <v>1</v>
      </c>
      <c r="N17" s="234">
        <f t="shared" si="0"/>
        <v>0.125</v>
      </c>
      <c r="O17" s="249">
        <v>0.55000000000000004</v>
      </c>
    </row>
    <row r="18" spans="2:15">
      <c r="B18" s="73" t="s">
        <v>145</v>
      </c>
      <c r="C18" s="74" t="s">
        <v>65</v>
      </c>
      <c r="D18" s="450">
        <f>SUMIFS(Table2[All currently registered regular patients aged 18+],Table2[OrgID],C18,Table2[Rel_D],Details!$D$61)</f>
        <v>4824</v>
      </c>
      <c r="E18" s="433" t="e">
        <f>SUMIFS(#REF!,#REF!,B18,#REF!,Details!$D$61)</f>
        <v>#REF!</v>
      </c>
      <c r="F18" s="115">
        <f>SUMIFS(Table2[B. Patients on the COPD register],Table2[OrgID],$C18,Table2[Rel_D],$B$10)</f>
        <v>77</v>
      </c>
      <c r="G18" s="229">
        <f>SUMIFS(Table2[4 COPD review coded or proxy (MRC) 12m],Table2[OrgID],$C18,Table2[Rel_D],$B$10)</f>
        <v>36</v>
      </c>
      <c r="H18" s="123">
        <f t="shared" si="1"/>
        <v>0.46753246753246752</v>
      </c>
      <c r="I18" s="241">
        <v>0.8</v>
      </c>
      <c r="J18" s="116">
        <f>SUMIFS(Table2[6 CAT Score &amp; MRC scale recorded],Table2[OrgID],$C18,Table2[Rel_D],$B$10)</f>
        <v>23</v>
      </c>
      <c r="K18" s="123">
        <f t="shared" si="2"/>
        <v>0.63888888888888884</v>
      </c>
      <c r="L18" s="241">
        <v>0.57999999999999996</v>
      </c>
      <c r="M18" s="116">
        <f>SUMIFS(Table2[7 COPD action plan recorded 12m],Table2[OrgID],$C18,Table2[Rel_D],$B$10)</f>
        <v>19</v>
      </c>
      <c r="N18" s="234">
        <f t="shared" si="0"/>
        <v>0.52777777777777779</v>
      </c>
      <c r="O18" s="249">
        <v>0.55000000000000004</v>
      </c>
    </row>
    <row r="19" spans="2:15">
      <c r="B19" s="73" t="s">
        <v>146</v>
      </c>
      <c r="C19" s="74" t="s">
        <v>66</v>
      </c>
      <c r="D19" s="450">
        <f>SUMIFS(Table2[All currently registered regular patients aged 18+],Table2[OrgID],C19,Table2[Rel_D],Details!$D$61)</f>
        <v>3253</v>
      </c>
      <c r="E19" s="433" t="e">
        <f>SUMIFS(#REF!,#REF!,B19,#REF!,Details!$D$61)</f>
        <v>#REF!</v>
      </c>
      <c r="F19" s="115">
        <f>SUMIFS(Table2[B. Patients on the COPD register],Table2[OrgID],$C19,Table2[Rel_D],$B$10)</f>
        <v>44</v>
      </c>
      <c r="G19" s="229">
        <f>SUMIFS(Table2[4 COPD review coded or proxy (MRC) 12m],Table2[OrgID],$C19,Table2[Rel_D],$B$10)</f>
        <v>38</v>
      </c>
      <c r="H19" s="123">
        <f t="shared" si="1"/>
        <v>0.86363636363636365</v>
      </c>
      <c r="I19" s="241">
        <v>0.8</v>
      </c>
      <c r="J19" s="116">
        <f>SUMIFS(Table2[6 CAT Score &amp; MRC scale recorded],Table2[OrgID],$C19,Table2[Rel_D],$B$10)</f>
        <v>21</v>
      </c>
      <c r="K19" s="123">
        <f t="shared" si="2"/>
        <v>0.55263157894736847</v>
      </c>
      <c r="L19" s="241">
        <v>0.57999999999999996</v>
      </c>
      <c r="M19" s="116">
        <f>SUMIFS(Table2[7 COPD action plan recorded 12m],Table2[OrgID],$C19,Table2[Rel_D],$B$10)</f>
        <v>4</v>
      </c>
      <c r="N19" s="234">
        <f t="shared" si="0"/>
        <v>0.10526315789473684</v>
      </c>
      <c r="O19" s="249">
        <v>0.55000000000000004</v>
      </c>
    </row>
    <row r="20" spans="2:15" ht="15.75" thickBot="1">
      <c r="B20" s="75" t="s">
        <v>147</v>
      </c>
      <c r="C20" s="76" t="s">
        <v>58</v>
      </c>
      <c r="D20" s="455">
        <f>IF(COUNTIFS(Table2[OrgID],C20,Table2[Rel_D],Details!$D$61) =0,"-",SUMIFS(Table2[All currently registered regular patients aged 18+],Table2[OrgID],C20,Table2[Rel_D],Details!$D$61))</f>
        <v>5585</v>
      </c>
      <c r="E20" s="435" t="e">
        <f>SUMIFS(#REF!,#REF!,B20,#REF!,Details!$D$61)</f>
        <v>#REF!</v>
      </c>
      <c r="F20" s="115">
        <f>SUMIFS(Table2[B. Patients on the COPD register],Table2[OrgID],$C20,Table2[Rel_D],$B$10)</f>
        <v>70</v>
      </c>
      <c r="G20" s="229">
        <f>SUMIFS(Table2[4 COPD review coded or proxy (MRC) 12m],Table2[OrgID],$C20,Table2[Rel_D],$B$10)</f>
        <v>50</v>
      </c>
      <c r="H20" s="123">
        <f t="shared" ref="H20" si="6">IFERROR(G20/F20,"-")</f>
        <v>0.7142857142857143</v>
      </c>
      <c r="I20" s="241">
        <v>0.8</v>
      </c>
      <c r="J20" s="116">
        <f>SUMIFS(Table2[6 CAT Score &amp; MRC scale recorded],Table2[OrgID],$C20,Table2[Rel_D],$B$10)</f>
        <v>0</v>
      </c>
      <c r="K20" s="123">
        <f t="shared" ref="K20" si="7">IFERROR(J20/G20, "-")</f>
        <v>0</v>
      </c>
      <c r="L20" s="241">
        <v>0.57999999999999996</v>
      </c>
      <c r="M20" s="116">
        <f>SUMIFS(Table2[7 COPD action plan recorded 12m],Table2[OrgID],$C20,Table2[Rel_D],$B$10)</f>
        <v>0</v>
      </c>
      <c r="N20" s="234">
        <f t="shared" ref="N20" si="8">IFERROR(M20/G20,"-")</f>
        <v>0</v>
      </c>
      <c r="O20" s="250">
        <v>0.55000000000000004</v>
      </c>
    </row>
    <row r="21" spans="2:15" ht="16.5" thickBot="1">
      <c r="B21" s="17" t="s">
        <v>148</v>
      </c>
      <c r="C21" s="18" t="s">
        <v>67</v>
      </c>
      <c r="D21" s="447">
        <f t="shared" ref="D21:M21" si="9">SUM(D13:D20)</f>
        <v>40125</v>
      </c>
      <c r="E21" s="448" t="e">
        <f t="shared" si="9"/>
        <v>#REF!</v>
      </c>
      <c r="F21" s="364">
        <f t="shared" si="9"/>
        <v>593</v>
      </c>
      <c r="G21" s="217">
        <f t="shared" si="9"/>
        <v>459</v>
      </c>
      <c r="H21" s="128">
        <f t="shared" si="1"/>
        <v>0.77403035413153454</v>
      </c>
      <c r="I21" s="128">
        <v>0.8</v>
      </c>
      <c r="J21" s="127">
        <f t="shared" si="9"/>
        <v>214</v>
      </c>
      <c r="K21" s="128">
        <f t="shared" si="2"/>
        <v>0.4662309368191721</v>
      </c>
      <c r="L21" s="251">
        <v>0.57999999999999996</v>
      </c>
      <c r="M21" s="127">
        <f t="shared" si="9"/>
        <v>171</v>
      </c>
      <c r="N21" s="243">
        <f t="shared" si="0"/>
        <v>0.37254901960784315</v>
      </c>
      <c r="O21" s="254">
        <v>0.55000000000000004</v>
      </c>
    </row>
    <row r="22" spans="2:15">
      <c r="B22" s="77" t="s">
        <v>149</v>
      </c>
      <c r="C22" s="78" t="s">
        <v>56</v>
      </c>
      <c r="D22" s="449">
        <f>IF(COUNTIFS(Table2[OrgID],C22,Table2[Rel_D],Details!$D$61) =0,"-",SUMIFS(Table2[All currently registered regular patients aged 18+],Table2[OrgID],C22,Table2[Rel_D],Details!$D$61))</f>
        <v>12435</v>
      </c>
      <c r="E22" s="431" t="e">
        <f>SUMIFS(#REF!,#REF!,B22,#REF!,Details!$D$61)</f>
        <v>#REF!</v>
      </c>
      <c r="F22" s="115">
        <f>SUMIFS(Table2[B. Patients on the COPD register],Table2[OrgID],$C22,Table2[Rel_D],$B$10)</f>
        <v>161</v>
      </c>
      <c r="G22" s="229">
        <f>SUMIFS(Table2[4 COPD review coded or proxy (MRC) 12m],Table2[OrgID],$C22,Table2[Rel_D],$B$10)</f>
        <v>140</v>
      </c>
      <c r="H22" s="123">
        <f t="shared" ref="H22" si="10">IFERROR(G22/F22,"-")</f>
        <v>0.86956521739130432</v>
      </c>
      <c r="I22" s="241">
        <v>0.8</v>
      </c>
      <c r="J22" s="116">
        <f>SUMIFS(Table2[6 CAT Score &amp; MRC scale recorded],Table2[OrgID],$C22,Table2[Rel_D],$B$10)</f>
        <v>106</v>
      </c>
      <c r="K22" s="123">
        <f t="shared" ref="K22" si="11">IFERROR(J22/G22, "-")</f>
        <v>0.75714285714285712</v>
      </c>
      <c r="L22" s="241">
        <v>0.57999999999999996</v>
      </c>
      <c r="M22" s="116">
        <f>SUMIFS(Table2[7 COPD action plan recorded 12m],Table2[OrgID],$C22,Table2[Rel_D],$B$10)</f>
        <v>117</v>
      </c>
      <c r="N22" s="234">
        <f t="shared" ref="N22" si="12">IFERROR(M22/G22,"-")</f>
        <v>0.83571428571428574</v>
      </c>
      <c r="O22" s="248">
        <v>0.55000000000000004</v>
      </c>
    </row>
    <row r="23" spans="2:15">
      <c r="B23" s="73" t="s">
        <v>150</v>
      </c>
      <c r="C23" s="74" t="s">
        <v>69</v>
      </c>
      <c r="D23" s="450">
        <f>SUMIFS(Table2[All currently registered regular patients aged 18+],Table2[OrgID],C23,Table2[Rel_D],Details!$D$61)</f>
        <v>7143</v>
      </c>
      <c r="E23" s="433" t="e">
        <f>SUMIFS(#REF!,#REF!,B23,#REF!,Details!$D$61)</f>
        <v>#REF!</v>
      </c>
      <c r="F23" s="115">
        <f>SUMIFS(Table2[B. Patients on the COPD register],Table2[OrgID],$C23,Table2[Rel_D],$B$10)</f>
        <v>113</v>
      </c>
      <c r="G23" s="229">
        <f>SUMIFS(Table2[4 COPD review coded or proxy (MRC) 12m],Table2[OrgID],$C23,Table2[Rel_D],$B$10)</f>
        <v>93</v>
      </c>
      <c r="H23" s="123">
        <f t="shared" si="1"/>
        <v>0.82300884955752207</v>
      </c>
      <c r="I23" s="241">
        <v>0.8</v>
      </c>
      <c r="J23" s="116">
        <f>SUMIFS(Table2[6 CAT Score &amp; MRC scale recorded],Table2[OrgID],$C23,Table2[Rel_D],$B$10)</f>
        <v>52</v>
      </c>
      <c r="K23" s="123">
        <f t="shared" si="2"/>
        <v>0.55913978494623651</v>
      </c>
      <c r="L23" s="241">
        <v>0.57999999999999996</v>
      </c>
      <c r="M23" s="116">
        <f>SUMIFS(Table2[7 COPD action plan recorded 12m],Table2[OrgID],$C23,Table2[Rel_D],$B$10)</f>
        <v>28</v>
      </c>
      <c r="N23" s="234">
        <f t="shared" si="0"/>
        <v>0.30107526881720431</v>
      </c>
      <c r="O23" s="249">
        <v>0.55000000000000004</v>
      </c>
    </row>
    <row r="24" spans="2:15">
      <c r="B24" s="73" t="s">
        <v>151</v>
      </c>
      <c r="C24" s="74" t="s">
        <v>70</v>
      </c>
      <c r="D24" s="450">
        <f>SUMIFS(Table2[All currently registered regular patients aged 18+],Table2[OrgID],C24,Table2[Rel_D],Details!$D$61)</f>
        <v>10588</v>
      </c>
      <c r="E24" s="433" t="e">
        <f>SUMIFS(#REF!,#REF!,B24,#REF!,Details!$D$61)</f>
        <v>#REF!</v>
      </c>
      <c r="F24" s="115">
        <f>SUMIFS(Table2[B. Patients on the COPD register],Table2[OrgID],$C24,Table2[Rel_D],$B$10)</f>
        <v>223</v>
      </c>
      <c r="G24" s="229">
        <f>SUMIFS(Table2[4 COPD review coded or proxy (MRC) 12m],Table2[OrgID],$C24,Table2[Rel_D],$B$10)</f>
        <v>190</v>
      </c>
      <c r="H24" s="123">
        <f t="shared" si="1"/>
        <v>0.85201793721973096</v>
      </c>
      <c r="I24" s="241">
        <v>0.8</v>
      </c>
      <c r="J24" s="116">
        <f>SUMIFS(Table2[6 CAT Score &amp; MRC scale recorded],Table2[OrgID],$C24,Table2[Rel_D],$B$10)</f>
        <v>137</v>
      </c>
      <c r="K24" s="123">
        <f t="shared" si="2"/>
        <v>0.72105263157894739</v>
      </c>
      <c r="L24" s="241">
        <v>0.57999999999999996</v>
      </c>
      <c r="M24" s="116">
        <f>SUMIFS(Table2[7 COPD action plan recorded 12m],Table2[OrgID],$C24,Table2[Rel_D],$B$10)</f>
        <v>72</v>
      </c>
      <c r="N24" s="234">
        <f t="shared" si="0"/>
        <v>0.37894736842105264</v>
      </c>
      <c r="O24" s="249">
        <v>0.55000000000000004</v>
      </c>
    </row>
    <row r="25" spans="2:15">
      <c r="B25" s="73" t="s">
        <v>152</v>
      </c>
      <c r="C25" s="74" t="s">
        <v>71</v>
      </c>
      <c r="D25" s="450">
        <f>SUMIFS(Table2[All currently registered regular patients aged 18+],Table2[OrgID],C25,Table2[Rel_D],Details!$D$61)</f>
        <v>5687</v>
      </c>
      <c r="E25" s="433" t="e">
        <f>SUMIFS(#REF!,#REF!,B25,#REF!,Details!$D$61)</f>
        <v>#REF!</v>
      </c>
      <c r="F25" s="115">
        <f>SUMIFS(Table2[B. Patients on the COPD register],Table2[OrgID],$C25,Table2[Rel_D],$B$10)</f>
        <v>74</v>
      </c>
      <c r="G25" s="229">
        <f>SUMIFS(Table2[4 COPD review coded or proxy (MRC) 12m],Table2[OrgID],$C25,Table2[Rel_D],$B$10)</f>
        <v>34</v>
      </c>
      <c r="H25" s="123">
        <f t="shared" si="1"/>
        <v>0.45945945945945948</v>
      </c>
      <c r="I25" s="241">
        <v>0.8</v>
      </c>
      <c r="J25" s="116">
        <f>SUMIFS(Table2[6 CAT Score &amp; MRC scale recorded],Table2[OrgID],$C25,Table2[Rel_D],$B$10)</f>
        <v>27</v>
      </c>
      <c r="K25" s="123">
        <f t="shared" si="2"/>
        <v>0.79411764705882348</v>
      </c>
      <c r="L25" s="241">
        <v>0.57999999999999996</v>
      </c>
      <c r="M25" s="116">
        <f>SUMIFS(Table2[7 COPD action plan recorded 12m],Table2[OrgID],$C25,Table2[Rel_D],$B$10)</f>
        <v>2</v>
      </c>
      <c r="N25" s="234">
        <f t="shared" si="0"/>
        <v>5.8823529411764705E-2</v>
      </c>
      <c r="O25" s="249">
        <v>0.55000000000000004</v>
      </c>
    </row>
    <row r="26" spans="2:15" ht="15.75" thickBot="1">
      <c r="B26" s="75" t="s">
        <v>153</v>
      </c>
      <c r="C26" s="76" t="s">
        <v>72</v>
      </c>
      <c r="D26" s="455">
        <f>SUMIFS(Table2[All currently registered regular patients aged 18+],Table2[OrgID],C26,Table2[Rel_D],Details!$D$61)</f>
        <v>6045</v>
      </c>
      <c r="E26" s="435" t="e">
        <f>SUMIFS(#REF!,#REF!,B26,#REF!,Details!$D$61)</f>
        <v>#REF!</v>
      </c>
      <c r="F26" s="117">
        <f>SUMIFS(Table2[B. Patients on the COPD register],Table2[OrgID],$C26,Table2[Rel_D],$B$10)</f>
        <v>68</v>
      </c>
      <c r="G26" s="230">
        <f>SUMIFS(Table2[4 COPD review coded or proxy (MRC) 12m],Table2[OrgID],$C26,Table2[Rel_D],$B$10)</f>
        <v>42</v>
      </c>
      <c r="H26" s="124">
        <f t="shared" si="1"/>
        <v>0.61764705882352944</v>
      </c>
      <c r="I26" s="242">
        <v>0.8</v>
      </c>
      <c r="J26" s="118">
        <f>SUMIFS(Table2[6 CAT Score &amp; MRC scale recorded],Table2[OrgID],$C26,Table2[Rel_D],$B$10)</f>
        <v>10</v>
      </c>
      <c r="K26" s="124">
        <f t="shared" si="2"/>
        <v>0.23809523809523808</v>
      </c>
      <c r="L26" s="242">
        <v>0.57999999999999996</v>
      </c>
      <c r="M26" s="118">
        <f>SUMIFS(Table2[7 COPD action plan recorded 12m],Table2[OrgID],$C26,Table2[Rel_D],$B$10)</f>
        <v>24</v>
      </c>
      <c r="N26" s="236">
        <f t="shared" si="0"/>
        <v>0.5714285714285714</v>
      </c>
      <c r="O26" s="250">
        <v>0.55000000000000004</v>
      </c>
    </row>
    <row r="27" spans="2:15" ht="16.5" thickBot="1">
      <c r="B27" s="17" t="s">
        <v>154</v>
      </c>
      <c r="C27" s="18" t="s">
        <v>74</v>
      </c>
      <c r="D27" s="447">
        <f>SUM(D22:D26)</f>
        <v>41898</v>
      </c>
      <c r="E27" s="448" t="e">
        <f t="shared" ref="E27:M27" si="13">SUM(E22:E26)</f>
        <v>#REF!</v>
      </c>
      <c r="F27" s="364">
        <f t="shared" si="13"/>
        <v>639</v>
      </c>
      <c r="G27" s="217">
        <f t="shared" si="13"/>
        <v>499</v>
      </c>
      <c r="H27" s="128">
        <f t="shared" si="1"/>
        <v>0.78090766823161184</v>
      </c>
      <c r="I27" s="128">
        <v>0.8</v>
      </c>
      <c r="J27" s="127">
        <f t="shared" si="13"/>
        <v>332</v>
      </c>
      <c r="K27" s="128">
        <f t="shared" si="2"/>
        <v>0.66533066132264529</v>
      </c>
      <c r="L27" s="251">
        <v>0.57999999999999996</v>
      </c>
      <c r="M27" s="127">
        <f t="shared" si="13"/>
        <v>243</v>
      </c>
      <c r="N27" s="243">
        <f t="shared" si="0"/>
        <v>0.48697394789579157</v>
      </c>
      <c r="O27" s="254">
        <v>0.55000000000000004</v>
      </c>
    </row>
    <row r="28" spans="2:15">
      <c r="B28" s="77" t="s">
        <v>155</v>
      </c>
      <c r="C28" s="78" t="s">
        <v>75</v>
      </c>
      <c r="D28" s="449">
        <f>SUMIFS(Table2[All currently registered regular patients aged 18+],Table2[OrgID],C28,Table2[Rel_D],Details!$D$61)</f>
        <v>7813</v>
      </c>
      <c r="E28" s="431" t="e">
        <f>SUMIFS(#REF!,#REF!,B28,#REF!,Details!$D$61)</f>
        <v>#REF!</v>
      </c>
      <c r="F28" s="121">
        <f>SUMIFS(Table2[B. Patients on the COPD register],Table2[OrgID],$C28,Table2[Rel_D],$B$10)</f>
        <v>93</v>
      </c>
      <c r="G28" s="231">
        <f>SUMIFS(Table2[4 COPD review coded or proxy (MRC) 12m],Table2[OrgID],$C28,Table2[Rel_D],$B$10)</f>
        <v>85</v>
      </c>
      <c r="H28" s="125">
        <f t="shared" si="1"/>
        <v>0.91397849462365588</v>
      </c>
      <c r="I28" s="240">
        <v>0.8</v>
      </c>
      <c r="J28" s="122">
        <f>SUMIFS(Table2[6 CAT Score &amp; MRC scale recorded],Table2[OrgID],$C28,Table2[Rel_D],$B$10)</f>
        <v>74</v>
      </c>
      <c r="K28" s="125">
        <f t="shared" si="2"/>
        <v>0.87058823529411766</v>
      </c>
      <c r="L28" s="240">
        <v>0.57999999999999996</v>
      </c>
      <c r="M28" s="122">
        <f>SUMIFS(Table2[7 COPD action plan recorded 12m],Table2[OrgID],$C28,Table2[Rel_D],$B$10)</f>
        <v>67</v>
      </c>
      <c r="N28" s="237">
        <f t="shared" si="0"/>
        <v>0.78823529411764703</v>
      </c>
      <c r="O28" s="248">
        <v>0.55000000000000004</v>
      </c>
    </row>
    <row r="29" spans="2:15">
      <c r="B29" s="73" t="s">
        <v>156</v>
      </c>
      <c r="C29" s="74" t="s">
        <v>76</v>
      </c>
      <c r="D29" s="450">
        <f>SUMIFS(Table2[All currently registered regular patients aged 18+],Table2[OrgID],C29,Table2[Rel_D],Details!$D$61)</f>
        <v>8209</v>
      </c>
      <c r="E29" s="433" t="e">
        <f>SUMIFS(#REF!,#REF!,B29,#REF!,Details!$D$61)</f>
        <v>#REF!</v>
      </c>
      <c r="F29" s="115">
        <f>SUMIFS(Table2[B. Patients on the COPD register],Table2[OrgID],$C29,Table2[Rel_D],$B$10)</f>
        <v>46</v>
      </c>
      <c r="G29" s="229">
        <f>SUMIFS(Table2[4 COPD review coded or proxy (MRC) 12m],Table2[OrgID],$C29,Table2[Rel_D],$B$10)</f>
        <v>43</v>
      </c>
      <c r="H29" s="123">
        <f t="shared" si="1"/>
        <v>0.93478260869565222</v>
      </c>
      <c r="I29" s="241">
        <v>0.8</v>
      </c>
      <c r="J29" s="116">
        <f>SUMIFS(Table2[6 CAT Score &amp; MRC scale recorded],Table2[OrgID],$C29,Table2[Rel_D],$B$10)</f>
        <v>43</v>
      </c>
      <c r="K29" s="123">
        <f t="shared" si="2"/>
        <v>1</v>
      </c>
      <c r="L29" s="241">
        <v>0.57999999999999996</v>
      </c>
      <c r="M29" s="116">
        <f>SUMIFS(Table2[7 COPD action plan recorded 12m],Table2[OrgID],$C29,Table2[Rel_D],$B$10)</f>
        <v>37</v>
      </c>
      <c r="N29" s="234">
        <f t="shared" si="0"/>
        <v>0.86046511627906974</v>
      </c>
      <c r="O29" s="249">
        <v>0.55000000000000004</v>
      </c>
    </row>
    <row r="30" spans="2:15" ht="15.75" thickBot="1">
      <c r="B30" s="75" t="s">
        <v>157</v>
      </c>
      <c r="C30" s="76" t="s">
        <v>59</v>
      </c>
      <c r="D30" s="455">
        <f>IF(COUNTIFS(Table2[OrgID],C30,Table2[Rel_D],Details!$D$61) =0,"-",SUMIFS(Table2[All currently registered regular patients aged 18+],Table2[OrgID],C30,Table2[Rel_D],Details!$D$61))</f>
        <v>11775</v>
      </c>
      <c r="E30" s="435" t="e">
        <f>SUMIFS(#REF!,#REF!,B30,#REF!,Details!$D$61)</f>
        <v>#REF!</v>
      </c>
      <c r="F30" s="115">
        <f>SUMIFS(Table2[B. Patients on the COPD register],Table2[OrgID],$C30,Table2[Rel_D],$B$10)</f>
        <v>116</v>
      </c>
      <c r="G30" s="229">
        <f>SUMIFS(Table2[4 COPD review coded or proxy (MRC) 12m],Table2[OrgID],$C30,Table2[Rel_D],$B$10)</f>
        <v>84</v>
      </c>
      <c r="H30" s="123">
        <f t="shared" ref="H30" si="14">IFERROR(G30/F30,"-")</f>
        <v>0.72413793103448276</v>
      </c>
      <c r="I30" s="241">
        <v>0.8</v>
      </c>
      <c r="J30" s="116">
        <f>SUMIFS(Table2[6 CAT Score &amp; MRC scale recorded],Table2[OrgID],$C30,Table2[Rel_D],$B$10)</f>
        <v>63</v>
      </c>
      <c r="K30" s="123">
        <f t="shared" ref="K30" si="15">IFERROR(J30/G30, "-")</f>
        <v>0.75</v>
      </c>
      <c r="L30" s="241">
        <v>0.57999999999999996</v>
      </c>
      <c r="M30" s="116">
        <f>SUMIFS(Table2[7 COPD action plan recorded 12m],Table2[OrgID],$C30,Table2[Rel_D],$B$10)</f>
        <v>20</v>
      </c>
      <c r="N30" s="234">
        <f t="shared" ref="N30" si="16">IFERROR(M30/G30,"-")</f>
        <v>0.23809523809523808</v>
      </c>
      <c r="O30" s="250">
        <v>0.55000000000000004</v>
      </c>
    </row>
    <row r="31" spans="2:15" ht="16.5" thickBot="1">
      <c r="B31" s="17" t="s">
        <v>158</v>
      </c>
      <c r="C31" s="18" t="s">
        <v>77</v>
      </c>
      <c r="D31" s="447">
        <f>SUM(D28:D30)</f>
        <v>27797</v>
      </c>
      <c r="E31" s="448" t="e">
        <f t="shared" ref="E31:M31" si="17">SUM(E28:E30)</f>
        <v>#REF!</v>
      </c>
      <c r="F31" s="364">
        <f t="shared" si="17"/>
        <v>255</v>
      </c>
      <c r="G31" s="217">
        <f t="shared" si="17"/>
        <v>212</v>
      </c>
      <c r="H31" s="128">
        <f t="shared" si="1"/>
        <v>0.83137254901960789</v>
      </c>
      <c r="I31" s="128">
        <v>0.8</v>
      </c>
      <c r="J31" s="127">
        <f t="shared" si="17"/>
        <v>180</v>
      </c>
      <c r="K31" s="128">
        <f t="shared" si="2"/>
        <v>0.84905660377358494</v>
      </c>
      <c r="L31" s="251">
        <v>0.57999999999999996</v>
      </c>
      <c r="M31" s="127">
        <f t="shared" si="17"/>
        <v>124</v>
      </c>
      <c r="N31" s="243">
        <f t="shared" si="0"/>
        <v>0.58490566037735847</v>
      </c>
      <c r="O31" s="254">
        <v>0.55000000000000004</v>
      </c>
    </row>
    <row r="32" spans="2:15">
      <c r="B32" s="77" t="s">
        <v>159</v>
      </c>
      <c r="C32" s="78" t="s">
        <v>78</v>
      </c>
      <c r="D32" s="449">
        <f>SUMIFS(Table2[All currently registered regular patients aged 18+],Table2[OrgID],C32,Table2[Rel_D],Details!$D$61)</f>
        <v>11555</v>
      </c>
      <c r="E32" s="431" t="e">
        <f>SUMIFS(#REF!,#REF!,B32,#REF!,Details!$D$61)</f>
        <v>#REF!</v>
      </c>
      <c r="F32" s="121">
        <f>SUMIFS(Table2[B. Patients on the COPD register],Table2[OrgID],$C32,Table2[Rel_D],$B$10)</f>
        <v>105</v>
      </c>
      <c r="G32" s="231">
        <f>SUMIFS(Table2[4 COPD review coded or proxy (MRC) 12m],Table2[OrgID],$C32,Table2[Rel_D],$B$10)</f>
        <v>92</v>
      </c>
      <c r="H32" s="125">
        <f t="shared" si="1"/>
        <v>0.87619047619047619</v>
      </c>
      <c r="I32" s="240">
        <v>0.8</v>
      </c>
      <c r="J32" s="122">
        <f>SUMIFS(Table2[6 CAT Score &amp; MRC scale recorded],Table2[OrgID],$C32,Table2[Rel_D],$B$10)</f>
        <v>89</v>
      </c>
      <c r="K32" s="125">
        <f t="shared" si="2"/>
        <v>0.96739130434782605</v>
      </c>
      <c r="L32" s="240">
        <v>0.57999999999999996</v>
      </c>
      <c r="M32" s="122">
        <f>SUMIFS(Table2[7 COPD action plan recorded 12m],Table2[OrgID],$C32,Table2[Rel_D],$B$10)</f>
        <v>89</v>
      </c>
      <c r="N32" s="237">
        <f t="shared" si="0"/>
        <v>0.96739130434782605</v>
      </c>
      <c r="O32" s="248">
        <v>0.55000000000000004</v>
      </c>
    </row>
    <row r="33" spans="2:15">
      <c r="B33" s="73" t="s">
        <v>225</v>
      </c>
      <c r="C33" s="76" t="s">
        <v>79</v>
      </c>
      <c r="D33" s="450">
        <f>SUMIFS(Table2[All currently registered regular patients aged 18+],Table2[OrgID],C33,Table2[Rel_D],Details!$D$61)</f>
        <v>8734</v>
      </c>
      <c r="E33" s="433" t="e">
        <f>SUMIFS(#REF!,#REF!,B33,#REF!,Details!$D$61)</f>
        <v>#REF!</v>
      </c>
      <c r="F33" s="115">
        <f>SUMIFS(Table2[B. Patients on the COPD register],Table2[OrgID],$C33,Table2[Rel_D],$B$10)</f>
        <v>35</v>
      </c>
      <c r="G33" s="229">
        <f>SUMIFS(Table2[4 COPD review coded or proxy (MRC) 12m],Table2[OrgID],$C33,Table2[Rel_D],$B$10)</f>
        <v>29</v>
      </c>
      <c r="H33" s="123">
        <f t="shared" si="1"/>
        <v>0.82857142857142863</v>
      </c>
      <c r="I33" s="241">
        <v>0.8</v>
      </c>
      <c r="J33" s="116">
        <f>SUMIFS(Table2[6 CAT Score &amp; MRC scale recorded],Table2[OrgID],$C33,Table2[Rel_D],$B$10)</f>
        <v>28</v>
      </c>
      <c r="K33" s="123">
        <f t="shared" si="2"/>
        <v>0.96551724137931039</v>
      </c>
      <c r="L33" s="241">
        <v>0.57999999999999996</v>
      </c>
      <c r="M33" s="116">
        <f>SUMIFS(Table2[7 COPD action plan recorded 12m],Table2[OrgID],$C33,Table2[Rel_D],$B$10)</f>
        <v>23</v>
      </c>
      <c r="N33" s="234">
        <f t="shared" si="0"/>
        <v>0.7931034482758621</v>
      </c>
      <c r="O33" s="249">
        <v>0.55000000000000004</v>
      </c>
    </row>
    <row r="34" spans="2:15">
      <c r="B34" s="73" t="s">
        <v>161</v>
      </c>
      <c r="C34" s="74" t="s">
        <v>80</v>
      </c>
      <c r="D34" s="450">
        <f>SUMIFS(Table2[All currently registered regular patients aged 18+],Table2[OrgID],C34,Table2[Rel_D],Details!$D$61)</f>
        <v>5550</v>
      </c>
      <c r="E34" s="433" t="e">
        <f>SUMIFS(#REF!,#REF!,B34,#REF!,Details!$D$61)</f>
        <v>#REF!</v>
      </c>
      <c r="F34" s="115">
        <f>SUMIFS(Table2[B. Patients on the COPD register],Table2[OrgID],$C34,Table2[Rel_D],$B$10)</f>
        <v>25</v>
      </c>
      <c r="G34" s="229">
        <f>SUMIFS(Table2[4 COPD review coded or proxy (MRC) 12m],Table2[OrgID],$C34,Table2[Rel_D],$B$10)</f>
        <v>20</v>
      </c>
      <c r="H34" s="123">
        <f t="shared" si="1"/>
        <v>0.8</v>
      </c>
      <c r="I34" s="241">
        <v>0.8</v>
      </c>
      <c r="J34" s="116">
        <f>SUMIFS(Table2[6 CAT Score &amp; MRC scale recorded],Table2[OrgID],$C34,Table2[Rel_D],$B$10)</f>
        <v>20</v>
      </c>
      <c r="K34" s="123">
        <f t="shared" si="2"/>
        <v>1</v>
      </c>
      <c r="L34" s="241">
        <v>0.57999999999999996</v>
      </c>
      <c r="M34" s="116">
        <f>SUMIFS(Table2[7 COPD action plan recorded 12m],Table2[OrgID],$C34,Table2[Rel_D],$B$10)</f>
        <v>14</v>
      </c>
      <c r="N34" s="234">
        <f t="shared" si="0"/>
        <v>0.7</v>
      </c>
      <c r="O34" s="249">
        <v>0.55000000000000004</v>
      </c>
    </row>
    <row r="35" spans="2:15">
      <c r="B35" s="73" t="s">
        <v>162</v>
      </c>
      <c r="C35" s="74" t="s">
        <v>81</v>
      </c>
      <c r="D35" s="450">
        <f>SUMIFS(Table2[All currently registered regular patients aged 18+],Table2[OrgID],C35,Table2[Rel_D],Details!$D$61)</f>
        <v>2808</v>
      </c>
      <c r="E35" s="433" t="e">
        <f>SUMIFS(#REF!,#REF!,B35,#REF!,Details!$D$61)</f>
        <v>#REF!</v>
      </c>
      <c r="F35" s="115">
        <f>SUMIFS(Table2[B. Patients on the COPD register],Table2[OrgID],$C35,Table2[Rel_D],$B$10)</f>
        <v>14</v>
      </c>
      <c r="G35" s="229">
        <f>SUMIFS(Table2[4 COPD review coded or proxy (MRC) 12m],Table2[OrgID],$C35,Table2[Rel_D],$B$10)</f>
        <v>10</v>
      </c>
      <c r="H35" s="123">
        <f t="shared" si="1"/>
        <v>0.7142857142857143</v>
      </c>
      <c r="I35" s="241">
        <v>0.8</v>
      </c>
      <c r="J35" s="116">
        <f>SUMIFS(Table2[6 CAT Score &amp; MRC scale recorded],Table2[OrgID],$C35,Table2[Rel_D],$B$10)</f>
        <v>10</v>
      </c>
      <c r="K35" s="123">
        <f t="shared" si="2"/>
        <v>1</v>
      </c>
      <c r="L35" s="241">
        <v>0.57999999999999996</v>
      </c>
      <c r="M35" s="116">
        <f>SUMIFS(Table2[7 COPD action plan recorded 12m],Table2[OrgID],$C35,Table2[Rel_D],$B$10)</f>
        <v>5</v>
      </c>
      <c r="N35" s="234">
        <f t="shared" si="0"/>
        <v>0.5</v>
      </c>
      <c r="O35" s="249">
        <v>0.55000000000000004</v>
      </c>
    </row>
    <row r="36" spans="2:15">
      <c r="B36" s="73" t="s">
        <v>163</v>
      </c>
      <c r="C36" s="74" t="s">
        <v>82</v>
      </c>
      <c r="D36" s="450">
        <f>SUMIFS(Table2[All currently registered regular patients aged 18+],Table2[OrgID],C36,Table2[Rel_D],Details!$D$61)</f>
        <v>6361</v>
      </c>
      <c r="E36" s="433" t="e">
        <f>SUMIFS(#REF!,#REF!,B36,#REF!,Details!$D$61)</f>
        <v>#REF!</v>
      </c>
      <c r="F36" s="115">
        <f>SUMIFS(Table2[B. Patients on the COPD register],Table2[OrgID],$C36,Table2[Rel_D],$B$10)</f>
        <v>57</v>
      </c>
      <c r="G36" s="229">
        <f>SUMIFS(Table2[4 COPD review coded or proxy (MRC) 12m],Table2[OrgID],$C36,Table2[Rel_D],$B$10)</f>
        <v>44</v>
      </c>
      <c r="H36" s="123">
        <f t="shared" si="1"/>
        <v>0.77192982456140347</v>
      </c>
      <c r="I36" s="241">
        <v>0.8</v>
      </c>
      <c r="J36" s="116">
        <f>SUMIFS(Table2[6 CAT Score &amp; MRC scale recorded],Table2[OrgID],$C36,Table2[Rel_D],$B$10)</f>
        <v>39</v>
      </c>
      <c r="K36" s="123">
        <f t="shared" si="2"/>
        <v>0.88636363636363635</v>
      </c>
      <c r="L36" s="241">
        <v>0.57999999999999996</v>
      </c>
      <c r="M36" s="116">
        <f>SUMIFS(Table2[7 COPD action plan recorded 12m],Table2[OrgID],$C36,Table2[Rel_D],$B$10)</f>
        <v>36</v>
      </c>
      <c r="N36" s="234">
        <f t="shared" si="0"/>
        <v>0.81818181818181823</v>
      </c>
      <c r="O36" s="249">
        <v>0.55000000000000004</v>
      </c>
    </row>
    <row r="37" spans="2:15">
      <c r="B37" s="73" t="s">
        <v>164</v>
      </c>
      <c r="C37" s="74" t="s">
        <v>83</v>
      </c>
      <c r="D37" s="450">
        <f>SUMIFS(Table2[All currently registered regular patients aged 18+],Table2[OrgID],C37,Table2[Rel_D],Details!$D$61)</f>
        <v>4175</v>
      </c>
      <c r="E37" s="433" t="e">
        <f>SUMIFS(#REF!,#REF!,B37,#REF!,Details!$D$61)</f>
        <v>#REF!</v>
      </c>
      <c r="F37" s="115">
        <f>SUMIFS(Table2[B. Patients on the COPD register],Table2[OrgID],$C37,Table2[Rel_D],$B$10)</f>
        <v>36</v>
      </c>
      <c r="G37" s="229">
        <f>SUMIFS(Table2[4 COPD review coded or proxy (MRC) 12m],Table2[OrgID],$C37,Table2[Rel_D],$B$10)</f>
        <v>21</v>
      </c>
      <c r="H37" s="123">
        <f t="shared" si="1"/>
        <v>0.58333333333333337</v>
      </c>
      <c r="I37" s="241">
        <v>0.8</v>
      </c>
      <c r="J37" s="116">
        <f>SUMIFS(Table2[6 CAT Score &amp; MRC scale recorded],Table2[OrgID],$C37,Table2[Rel_D],$B$10)</f>
        <v>18</v>
      </c>
      <c r="K37" s="123">
        <f t="shared" si="2"/>
        <v>0.8571428571428571</v>
      </c>
      <c r="L37" s="241">
        <v>0.57999999999999996</v>
      </c>
      <c r="M37" s="116">
        <f>SUMIFS(Table2[7 COPD action plan recorded 12m],Table2[OrgID],$C37,Table2[Rel_D],$B$10)</f>
        <v>0</v>
      </c>
      <c r="N37" s="234">
        <f t="shared" si="0"/>
        <v>0</v>
      </c>
      <c r="O37" s="249">
        <v>0.55000000000000004</v>
      </c>
    </row>
    <row r="38" spans="2:15" ht="15.75" thickBot="1">
      <c r="B38" s="75" t="s">
        <v>165</v>
      </c>
      <c r="C38" s="76" t="s">
        <v>63</v>
      </c>
      <c r="D38" s="455">
        <f>IF(COUNTIFS(Table2[OrgID],C38,Table2[Rel_D],Details!$D$61) =0,"-",SUMIFS(Table2[All currently registered regular patients aged 18+],Table2[OrgID],C38,Table2[Rel_D],Details!$D$61))</f>
        <v>7767</v>
      </c>
      <c r="E38" s="435" t="e">
        <f>SUMIFS(#REF!,#REF!,B38,#REF!,Details!$D$61)</f>
        <v>#REF!</v>
      </c>
      <c r="F38" s="115">
        <f>SUMIFS(Table2[B. Patients on the COPD register],Table2[OrgID],$C38,Table2[Rel_D],$B$10)</f>
        <v>102</v>
      </c>
      <c r="G38" s="229">
        <f>SUMIFS(Table2[4 COPD review coded or proxy (MRC) 12m],Table2[OrgID],$C38,Table2[Rel_D],$B$10)</f>
        <v>72</v>
      </c>
      <c r="H38" s="123">
        <f t="shared" ref="H38" si="18">IFERROR(G38/F38,"-")</f>
        <v>0.70588235294117652</v>
      </c>
      <c r="I38" s="241">
        <v>0.8</v>
      </c>
      <c r="J38" s="116">
        <f>SUMIFS(Table2[6 CAT Score &amp; MRC scale recorded],Table2[OrgID],$C38,Table2[Rel_D],$B$10)</f>
        <v>1</v>
      </c>
      <c r="K38" s="123">
        <f t="shared" ref="K38" si="19">IFERROR(J38/G38, "-")</f>
        <v>1.3888888888888888E-2</v>
      </c>
      <c r="L38" s="241">
        <v>0.57999999999999996</v>
      </c>
      <c r="M38" s="116">
        <f>SUMIFS(Table2[7 COPD action plan recorded 12m],Table2[OrgID],$C38,Table2[Rel_D],$B$10)</f>
        <v>1</v>
      </c>
      <c r="N38" s="234">
        <f t="shared" ref="N38" si="20">IFERROR(M38/G38,"-")</f>
        <v>1.3888888888888888E-2</v>
      </c>
      <c r="O38" s="250">
        <v>0.55000000000000004</v>
      </c>
    </row>
    <row r="39" spans="2:15" ht="16.5" thickBot="1">
      <c r="B39" s="17" t="s">
        <v>166</v>
      </c>
      <c r="C39" s="18" t="s">
        <v>84</v>
      </c>
      <c r="D39" s="447">
        <f t="shared" ref="D39:M39" si="21">SUM(D32:D38)</f>
        <v>46950</v>
      </c>
      <c r="E39" s="448" t="e">
        <f t="shared" si="21"/>
        <v>#REF!</v>
      </c>
      <c r="F39" s="364">
        <f t="shared" si="21"/>
        <v>374</v>
      </c>
      <c r="G39" s="217">
        <f t="shared" si="21"/>
        <v>288</v>
      </c>
      <c r="H39" s="128">
        <f t="shared" si="1"/>
        <v>0.77005347593582885</v>
      </c>
      <c r="I39" s="128">
        <v>0.8</v>
      </c>
      <c r="J39" s="127">
        <f t="shared" si="21"/>
        <v>205</v>
      </c>
      <c r="K39" s="128">
        <f t="shared" si="2"/>
        <v>0.71180555555555558</v>
      </c>
      <c r="L39" s="251">
        <v>0.57999999999999996</v>
      </c>
      <c r="M39" s="127">
        <f t="shared" si="21"/>
        <v>168</v>
      </c>
      <c r="N39" s="243">
        <f t="shared" si="0"/>
        <v>0.58333333333333337</v>
      </c>
      <c r="O39" s="254">
        <v>0.55000000000000004</v>
      </c>
    </row>
    <row r="40" spans="2:15">
      <c r="B40" s="77" t="s">
        <v>167</v>
      </c>
      <c r="C40" s="78" t="s">
        <v>85</v>
      </c>
      <c r="D40" s="449">
        <f>SUMIFS(Table2[All currently registered regular patients aged 18+],Table2[OrgID],C40,Table2[Rel_D],Details!$D$61)</f>
        <v>5335</v>
      </c>
      <c r="E40" s="431" t="e">
        <f>SUMIFS(#REF!,#REF!,B40,#REF!,Details!$D$61)</f>
        <v>#REF!</v>
      </c>
      <c r="F40" s="121">
        <f>SUMIFS(Table2[B. Patients on the COPD register],Table2[OrgID],$C40,Table2[Rel_D],$B$10)</f>
        <v>28</v>
      </c>
      <c r="G40" s="231">
        <f>SUMIFS(Table2[4 COPD review coded or proxy (MRC) 12m],Table2[OrgID],$C40,Table2[Rel_D],$B$10)</f>
        <v>24</v>
      </c>
      <c r="H40" s="125">
        <f t="shared" si="1"/>
        <v>0.8571428571428571</v>
      </c>
      <c r="I40" s="240">
        <v>0.8</v>
      </c>
      <c r="J40" s="122">
        <f>SUMIFS(Table2[6 CAT Score &amp; MRC scale recorded],Table2[OrgID],$C40,Table2[Rel_D],$B$10)</f>
        <v>24</v>
      </c>
      <c r="K40" s="125">
        <f t="shared" si="2"/>
        <v>1</v>
      </c>
      <c r="L40" s="240">
        <v>0.57999999999999996</v>
      </c>
      <c r="M40" s="122">
        <f>SUMIFS(Table2[7 COPD action plan recorded 12m],Table2[OrgID],$C40,Table2[Rel_D],$B$10)</f>
        <v>20</v>
      </c>
      <c r="N40" s="237">
        <f t="shared" si="0"/>
        <v>0.83333333333333337</v>
      </c>
      <c r="O40" s="248">
        <v>0.55000000000000004</v>
      </c>
    </row>
    <row r="41" spans="2:15">
      <c r="B41" s="73" t="s">
        <v>168</v>
      </c>
      <c r="C41" s="74" t="s">
        <v>86</v>
      </c>
      <c r="D41" s="450">
        <f>SUMIFS(Table2[All currently registered regular patients aged 18+],Table2[OrgID],C41,Table2[Rel_D],Details!$D$61)</f>
        <v>1693</v>
      </c>
      <c r="E41" s="433" t="e">
        <f>SUMIFS(#REF!,#REF!,B41,#REF!,Details!$D$61)</f>
        <v>#REF!</v>
      </c>
      <c r="F41" s="115">
        <f>SUMIFS(Table2[B. Patients on the COPD register],Table2[OrgID],$C41,Table2[Rel_D],$B$10)</f>
        <v>20</v>
      </c>
      <c r="G41" s="229">
        <f>SUMIFS(Table2[4 COPD review coded or proxy (MRC) 12m],Table2[OrgID],$C41,Table2[Rel_D],$B$10)</f>
        <v>19</v>
      </c>
      <c r="H41" s="123">
        <f t="shared" si="1"/>
        <v>0.95</v>
      </c>
      <c r="I41" s="241">
        <v>0.8</v>
      </c>
      <c r="J41" s="116">
        <f>SUMIFS(Table2[6 CAT Score &amp; MRC scale recorded],Table2[OrgID],$C41,Table2[Rel_D],$B$10)</f>
        <v>8</v>
      </c>
      <c r="K41" s="123">
        <f t="shared" si="2"/>
        <v>0.42105263157894735</v>
      </c>
      <c r="L41" s="241">
        <v>0.57999999999999996</v>
      </c>
      <c r="M41" s="116">
        <f>SUMIFS(Table2[7 COPD action plan recorded 12m],Table2[OrgID],$C41,Table2[Rel_D],$B$10)</f>
        <v>17</v>
      </c>
      <c r="N41" s="234">
        <f t="shared" si="0"/>
        <v>0.89473684210526316</v>
      </c>
      <c r="O41" s="249">
        <v>0.55000000000000004</v>
      </c>
    </row>
    <row r="42" spans="2:15">
      <c r="B42" s="73" t="s">
        <v>169</v>
      </c>
      <c r="C42" s="74" t="s">
        <v>87</v>
      </c>
      <c r="D42" s="450">
        <f>SUMIFS(Table2[All currently registered regular patients aged 18+],Table2[OrgID],C42,Table2[Rel_D],Details!$D$61)</f>
        <v>3066</v>
      </c>
      <c r="E42" s="433" t="e">
        <f>SUMIFS(#REF!,#REF!,B42,#REF!,Details!$D$61)</f>
        <v>#REF!</v>
      </c>
      <c r="F42" s="115">
        <f>SUMIFS(Table2[B. Patients on the COPD register],Table2[OrgID],$C42,Table2[Rel_D],$B$10)</f>
        <v>24</v>
      </c>
      <c r="G42" s="229">
        <f>SUMIFS(Table2[4 COPD review coded or proxy (MRC) 12m],Table2[OrgID],$C42,Table2[Rel_D],$B$10)</f>
        <v>20</v>
      </c>
      <c r="H42" s="123">
        <f t="shared" si="1"/>
        <v>0.83333333333333337</v>
      </c>
      <c r="I42" s="241">
        <v>0.8</v>
      </c>
      <c r="J42" s="116">
        <f>SUMIFS(Table2[6 CAT Score &amp; MRC scale recorded],Table2[OrgID],$C42,Table2[Rel_D],$B$10)</f>
        <v>20</v>
      </c>
      <c r="K42" s="123">
        <f t="shared" si="2"/>
        <v>1</v>
      </c>
      <c r="L42" s="241">
        <v>0.57999999999999996</v>
      </c>
      <c r="M42" s="116">
        <f>SUMIFS(Table2[7 COPD action plan recorded 12m],Table2[OrgID],$C42,Table2[Rel_D],$B$10)</f>
        <v>17</v>
      </c>
      <c r="N42" s="234">
        <f t="shared" si="0"/>
        <v>0.85</v>
      </c>
      <c r="O42" s="249">
        <v>0.55000000000000004</v>
      </c>
    </row>
    <row r="43" spans="2:15">
      <c r="B43" s="73" t="s">
        <v>170</v>
      </c>
      <c r="C43" s="74" t="s">
        <v>88</v>
      </c>
      <c r="D43" s="450">
        <f>SUMIFS(Table2[All currently registered regular patients aged 18+],Table2[OrgID],C43,Table2[Rel_D],Details!$D$61)</f>
        <v>4678</v>
      </c>
      <c r="E43" s="433" t="e">
        <f>SUMIFS(#REF!,#REF!,B43,#REF!,Details!$D$61)</f>
        <v>#REF!</v>
      </c>
      <c r="F43" s="115">
        <f>SUMIFS(Table2[B. Patients on the COPD register],Table2[OrgID],$C43,Table2[Rel_D],$B$10)</f>
        <v>50</v>
      </c>
      <c r="G43" s="229">
        <f>SUMIFS(Table2[4 COPD review coded or proxy (MRC) 12m],Table2[OrgID],$C43,Table2[Rel_D],$B$10)</f>
        <v>41</v>
      </c>
      <c r="H43" s="123">
        <f t="shared" si="1"/>
        <v>0.82</v>
      </c>
      <c r="I43" s="241">
        <v>0.8</v>
      </c>
      <c r="J43" s="116">
        <f>SUMIFS(Table2[6 CAT Score &amp; MRC scale recorded],Table2[OrgID],$C43,Table2[Rel_D],$B$10)</f>
        <v>33</v>
      </c>
      <c r="K43" s="123">
        <f t="shared" si="2"/>
        <v>0.80487804878048785</v>
      </c>
      <c r="L43" s="241">
        <v>0.57999999999999996</v>
      </c>
      <c r="M43" s="116">
        <f>SUMIFS(Table2[7 COPD action plan recorded 12m],Table2[OrgID],$C43,Table2[Rel_D],$B$10)</f>
        <v>21</v>
      </c>
      <c r="N43" s="234">
        <f t="shared" si="0"/>
        <v>0.51219512195121952</v>
      </c>
      <c r="O43" s="249">
        <v>0.55000000000000004</v>
      </c>
    </row>
    <row r="44" spans="2:15">
      <c r="B44" s="73" t="s">
        <v>171</v>
      </c>
      <c r="C44" s="74" t="s">
        <v>89</v>
      </c>
      <c r="D44" s="450">
        <f>SUMIFS(Table2[All currently registered regular patients aged 18+],Table2[OrgID],C44,Table2[Rel_D],Details!$D$61)</f>
        <v>11904</v>
      </c>
      <c r="E44" s="433" t="e">
        <f>SUMIFS(#REF!,#REF!,B44,#REF!,Details!$D$61)</f>
        <v>#REF!</v>
      </c>
      <c r="F44" s="115">
        <f>SUMIFS(Table2[B. Patients on the COPD register],Table2[OrgID],$C44,Table2[Rel_D],$B$10)</f>
        <v>123</v>
      </c>
      <c r="G44" s="229">
        <f>SUMIFS(Table2[4 COPD review coded or proxy (MRC) 12m],Table2[OrgID],$C44,Table2[Rel_D],$B$10)</f>
        <v>110</v>
      </c>
      <c r="H44" s="123">
        <f t="shared" si="1"/>
        <v>0.89430894308943087</v>
      </c>
      <c r="I44" s="241">
        <v>0.8</v>
      </c>
      <c r="J44" s="116">
        <f>SUMIFS(Table2[6 CAT Score &amp; MRC scale recorded],Table2[OrgID],$C44,Table2[Rel_D],$B$10)</f>
        <v>105</v>
      </c>
      <c r="K44" s="123">
        <f t="shared" si="2"/>
        <v>0.95454545454545459</v>
      </c>
      <c r="L44" s="241">
        <v>0.57999999999999996</v>
      </c>
      <c r="M44" s="116">
        <f>SUMIFS(Table2[7 COPD action plan recorded 12m],Table2[OrgID],$C44,Table2[Rel_D],$B$10)</f>
        <v>92</v>
      </c>
      <c r="N44" s="234">
        <f t="shared" si="0"/>
        <v>0.83636363636363631</v>
      </c>
      <c r="O44" s="249">
        <v>0.55000000000000004</v>
      </c>
    </row>
    <row r="45" spans="2:15" ht="15.75" thickBot="1">
      <c r="B45" s="75" t="s">
        <v>172</v>
      </c>
      <c r="C45" s="76" t="s">
        <v>90</v>
      </c>
      <c r="D45" s="455">
        <f>SUMIFS(Table2[All currently registered regular patients aged 18+],Table2[OrgID],C45,Table2[Rel_D],Details!$D$61)</f>
        <v>2900</v>
      </c>
      <c r="E45" s="435" t="e">
        <f>SUMIFS(#REF!,#REF!,B45,#REF!,Details!$D$61)</f>
        <v>#REF!</v>
      </c>
      <c r="F45" s="117">
        <f>SUMIFS(Table2[B. Patients on the COPD register],Table2[OrgID],$C45,Table2[Rel_D],$B$10)</f>
        <v>27</v>
      </c>
      <c r="G45" s="230">
        <f>SUMIFS(Table2[4 COPD review coded or proxy (MRC) 12m],Table2[OrgID],$C45,Table2[Rel_D],$B$10)</f>
        <v>23</v>
      </c>
      <c r="H45" s="124">
        <f t="shared" si="1"/>
        <v>0.85185185185185186</v>
      </c>
      <c r="I45" s="242">
        <v>0.8</v>
      </c>
      <c r="J45" s="118">
        <f>SUMIFS(Table2[6 CAT Score &amp; MRC scale recorded],Table2[OrgID],$C45,Table2[Rel_D],$B$10)</f>
        <v>13</v>
      </c>
      <c r="K45" s="124">
        <f t="shared" si="2"/>
        <v>0.56521739130434778</v>
      </c>
      <c r="L45" s="242">
        <v>0.57999999999999996</v>
      </c>
      <c r="M45" s="118">
        <f>SUMIFS(Table2[7 COPD action plan recorded 12m],Table2[OrgID],$C45,Table2[Rel_D],$B$10)</f>
        <v>19</v>
      </c>
      <c r="N45" s="236">
        <f t="shared" si="0"/>
        <v>0.82608695652173914</v>
      </c>
      <c r="O45" s="250">
        <v>0.55000000000000004</v>
      </c>
    </row>
    <row r="46" spans="2:15" ht="16.5" thickBot="1">
      <c r="B46" s="17" t="s">
        <v>173</v>
      </c>
      <c r="C46" s="18" t="s">
        <v>91</v>
      </c>
      <c r="D46" s="447">
        <f t="shared" ref="D46:M46" si="22">SUM(D40:D45)</f>
        <v>29576</v>
      </c>
      <c r="E46" s="448" t="e">
        <f t="shared" si="22"/>
        <v>#REF!</v>
      </c>
      <c r="F46" s="364">
        <f t="shared" si="22"/>
        <v>272</v>
      </c>
      <c r="G46" s="217">
        <f t="shared" si="22"/>
        <v>237</v>
      </c>
      <c r="H46" s="128">
        <f t="shared" si="1"/>
        <v>0.87132352941176472</v>
      </c>
      <c r="I46" s="128">
        <v>0.8</v>
      </c>
      <c r="J46" s="127">
        <f t="shared" si="22"/>
        <v>203</v>
      </c>
      <c r="K46" s="128">
        <f t="shared" si="2"/>
        <v>0.85654008438818563</v>
      </c>
      <c r="L46" s="251">
        <v>0.57999999999999996</v>
      </c>
      <c r="M46" s="127">
        <f t="shared" si="22"/>
        <v>186</v>
      </c>
      <c r="N46" s="243">
        <f t="shared" si="0"/>
        <v>0.78481012658227844</v>
      </c>
      <c r="O46" s="254">
        <v>0.55000000000000004</v>
      </c>
    </row>
    <row r="47" spans="2:15">
      <c r="B47" s="77" t="s">
        <v>174</v>
      </c>
      <c r="C47" s="78" t="s">
        <v>92</v>
      </c>
      <c r="D47" s="449">
        <f>SUMIFS(Table2[All currently registered regular patients aged 18+],Table2[OrgID],C47,Table2[Rel_D],Details!$D$61)</f>
        <v>11854</v>
      </c>
      <c r="E47" s="431" t="e">
        <f>SUMIFS(#REF!,#REF!,B47,#REF!,Details!$D$61)</f>
        <v>#REF!</v>
      </c>
      <c r="F47" s="121">
        <f>SUMIFS(Table2[B. Patients on the COPD register],Table2[OrgID],$C47,Table2[Rel_D],$B$10)</f>
        <v>88</v>
      </c>
      <c r="G47" s="231">
        <f>SUMIFS(Table2[4 COPD review coded or proxy (MRC) 12m],Table2[OrgID],$C47,Table2[Rel_D],$B$10)</f>
        <v>72</v>
      </c>
      <c r="H47" s="125">
        <f t="shared" si="1"/>
        <v>0.81818181818181823</v>
      </c>
      <c r="I47" s="240">
        <v>0.8</v>
      </c>
      <c r="J47" s="122">
        <f>SUMIFS(Table2[6 CAT Score &amp; MRC scale recorded],Table2[OrgID],$C47,Table2[Rel_D],$B$10)</f>
        <v>62</v>
      </c>
      <c r="K47" s="125">
        <f t="shared" si="2"/>
        <v>0.86111111111111116</v>
      </c>
      <c r="L47" s="240">
        <v>0.57999999999999996</v>
      </c>
      <c r="M47" s="122">
        <f>SUMIFS(Table2[7 COPD action plan recorded 12m],Table2[OrgID],$C47,Table2[Rel_D],$B$10)</f>
        <v>49</v>
      </c>
      <c r="N47" s="237">
        <f t="shared" si="0"/>
        <v>0.68055555555555558</v>
      </c>
      <c r="O47" s="248">
        <v>0.55000000000000004</v>
      </c>
    </row>
    <row r="48" spans="2:15">
      <c r="B48" s="73" t="s">
        <v>175</v>
      </c>
      <c r="C48" s="74" t="s">
        <v>93</v>
      </c>
      <c r="D48" s="450">
        <f>SUMIFS(Table2[All currently registered regular patients aged 18+],Table2[OrgID],C48,Table2[Rel_D],Details!$D$61)</f>
        <v>2159</v>
      </c>
      <c r="E48" s="433" t="e">
        <f>SUMIFS(#REF!,#REF!,B48,#REF!,Details!$D$61)</f>
        <v>#REF!</v>
      </c>
      <c r="F48" s="115">
        <f>SUMIFS(Table2[B. Patients on the COPD register],Table2[OrgID],$C48,Table2[Rel_D],$B$10)</f>
        <v>17</v>
      </c>
      <c r="G48" s="229">
        <f>SUMIFS(Table2[4 COPD review coded or proxy (MRC) 12m],Table2[OrgID],$C48,Table2[Rel_D],$B$10)</f>
        <v>13</v>
      </c>
      <c r="H48" s="123">
        <f t="shared" si="1"/>
        <v>0.76470588235294112</v>
      </c>
      <c r="I48" s="241">
        <v>0.8</v>
      </c>
      <c r="J48" s="116">
        <f>SUMIFS(Table2[6 CAT Score &amp; MRC scale recorded],Table2[OrgID],$C48,Table2[Rel_D],$B$10)</f>
        <v>12</v>
      </c>
      <c r="K48" s="123">
        <f t="shared" si="2"/>
        <v>0.92307692307692313</v>
      </c>
      <c r="L48" s="241">
        <v>0.57999999999999996</v>
      </c>
      <c r="M48" s="116">
        <f>SUMIFS(Table2[7 COPD action plan recorded 12m],Table2[OrgID],$C48,Table2[Rel_D],$B$10)</f>
        <v>11</v>
      </c>
      <c r="N48" s="234">
        <f t="shared" si="0"/>
        <v>0.84615384615384615</v>
      </c>
      <c r="O48" s="249">
        <v>0.55000000000000004</v>
      </c>
    </row>
    <row r="49" spans="2:15">
      <c r="B49" s="73" t="s">
        <v>226</v>
      </c>
      <c r="C49" s="74" t="s">
        <v>94</v>
      </c>
      <c r="D49" s="450">
        <f>SUMIFS(Table2[All currently registered regular patients aged 18+],Table2[OrgID],C49,Table2[Rel_D],Details!$D$61)</f>
        <v>6202</v>
      </c>
      <c r="E49" s="433" t="e">
        <f>SUMIFS(#REF!,#REF!,B49,#REF!,Details!$D$61)</f>
        <v>#REF!</v>
      </c>
      <c r="F49" s="115">
        <f>SUMIFS(Table2[B. Patients on the COPD register],Table2[OrgID],$C49,Table2[Rel_D],$B$10)</f>
        <v>83</v>
      </c>
      <c r="G49" s="229">
        <f>SUMIFS(Table2[4 COPD review coded or proxy (MRC) 12m],Table2[OrgID],$C49,Table2[Rel_D],$B$10)</f>
        <v>36</v>
      </c>
      <c r="H49" s="123">
        <f t="shared" si="1"/>
        <v>0.43373493975903615</v>
      </c>
      <c r="I49" s="241">
        <v>0.8</v>
      </c>
      <c r="J49" s="116">
        <f>SUMIFS(Table2[6 CAT Score &amp; MRC scale recorded],Table2[OrgID],$C49,Table2[Rel_D],$B$10)</f>
        <v>25</v>
      </c>
      <c r="K49" s="123">
        <f t="shared" si="2"/>
        <v>0.69444444444444442</v>
      </c>
      <c r="L49" s="241">
        <v>0.57999999999999996</v>
      </c>
      <c r="M49" s="116">
        <f>SUMIFS(Table2[7 COPD action plan recorded 12m],Table2[OrgID],$C49,Table2[Rel_D],$B$10)</f>
        <v>33</v>
      </c>
      <c r="N49" s="234">
        <f t="shared" si="0"/>
        <v>0.91666666666666663</v>
      </c>
      <c r="O49" s="249">
        <v>0.55000000000000004</v>
      </c>
    </row>
    <row r="50" spans="2:15">
      <c r="B50" s="73" t="s">
        <v>177</v>
      </c>
      <c r="C50" s="74" t="s">
        <v>95</v>
      </c>
      <c r="D50" s="450">
        <f>SUMIFS(Table2[All currently registered regular patients aged 18+],Table2[OrgID],C50,Table2[Rel_D],Details!$D$61)</f>
        <v>4578</v>
      </c>
      <c r="E50" s="433" t="e">
        <f>SUMIFS(#REF!,#REF!,B50,#REF!,Details!$D$61)</f>
        <v>#REF!</v>
      </c>
      <c r="F50" s="115">
        <f>SUMIFS(Table2[B. Patients on the COPD register],Table2[OrgID],$C50,Table2[Rel_D],$B$10)</f>
        <v>30</v>
      </c>
      <c r="G50" s="229">
        <f>SUMIFS(Table2[4 COPD review coded or proxy (MRC) 12m],Table2[OrgID],$C50,Table2[Rel_D],$B$10)</f>
        <v>18</v>
      </c>
      <c r="H50" s="123">
        <f t="shared" si="1"/>
        <v>0.6</v>
      </c>
      <c r="I50" s="241">
        <v>0.8</v>
      </c>
      <c r="J50" s="116">
        <f>SUMIFS(Table2[6 CAT Score &amp; MRC scale recorded],Table2[OrgID],$C50,Table2[Rel_D],$B$10)</f>
        <v>14</v>
      </c>
      <c r="K50" s="123">
        <f t="shared" si="2"/>
        <v>0.77777777777777779</v>
      </c>
      <c r="L50" s="241">
        <v>0.57999999999999996</v>
      </c>
      <c r="M50" s="116">
        <f>SUMIFS(Table2[7 COPD action plan recorded 12m],Table2[OrgID],$C50,Table2[Rel_D],$B$10)</f>
        <v>5</v>
      </c>
      <c r="N50" s="234">
        <f t="shared" si="0"/>
        <v>0.27777777777777779</v>
      </c>
      <c r="O50" s="249">
        <v>0.55000000000000004</v>
      </c>
    </row>
    <row r="51" spans="2:15" ht="15.75" thickBot="1">
      <c r="B51" s="75" t="s">
        <v>178</v>
      </c>
      <c r="C51" s="76" t="s">
        <v>96</v>
      </c>
      <c r="D51" s="455">
        <f>SUMIFS(Table2[All currently registered regular patients aged 18+],Table2[OrgID],C51,Table2[Rel_D],Details!$D$61)</f>
        <v>7066</v>
      </c>
      <c r="E51" s="435" t="e">
        <f>SUMIFS(#REF!,#REF!,B51,#REF!,Details!$D$61)</f>
        <v>#REF!</v>
      </c>
      <c r="F51" s="117">
        <f>SUMIFS(Table2[B. Patients on the COPD register],Table2[OrgID],$C51,Table2[Rel_D],$B$10)</f>
        <v>88</v>
      </c>
      <c r="G51" s="230">
        <f>SUMIFS(Table2[4 COPD review coded or proxy (MRC) 12m],Table2[OrgID],$C51,Table2[Rel_D],$B$10)</f>
        <v>58</v>
      </c>
      <c r="H51" s="124">
        <f t="shared" si="1"/>
        <v>0.65909090909090906</v>
      </c>
      <c r="I51" s="242">
        <v>0.8</v>
      </c>
      <c r="J51" s="118">
        <f>SUMIFS(Table2[6 CAT Score &amp; MRC scale recorded],Table2[OrgID],$C51,Table2[Rel_D],$B$10)</f>
        <v>55</v>
      </c>
      <c r="K51" s="124">
        <f t="shared" si="2"/>
        <v>0.94827586206896552</v>
      </c>
      <c r="L51" s="242">
        <v>0.57999999999999996</v>
      </c>
      <c r="M51" s="118">
        <f>SUMIFS(Table2[7 COPD action plan recorded 12m],Table2[OrgID],$C51,Table2[Rel_D],$B$10)</f>
        <v>47</v>
      </c>
      <c r="N51" s="236">
        <f t="shared" si="0"/>
        <v>0.81034482758620685</v>
      </c>
      <c r="O51" s="250">
        <v>0.55000000000000004</v>
      </c>
    </row>
    <row r="52" spans="2:15" ht="16.5" thickBot="1">
      <c r="B52" s="17" t="s">
        <v>179</v>
      </c>
      <c r="C52" s="18" t="s">
        <v>97</v>
      </c>
      <c r="D52" s="447">
        <f t="shared" ref="D52:M52" si="23">SUM(D47:D51)</f>
        <v>31859</v>
      </c>
      <c r="E52" s="448" t="e">
        <f t="shared" si="23"/>
        <v>#REF!</v>
      </c>
      <c r="F52" s="364">
        <f t="shared" si="23"/>
        <v>306</v>
      </c>
      <c r="G52" s="217">
        <f t="shared" si="23"/>
        <v>197</v>
      </c>
      <c r="H52" s="128">
        <f t="shared" si="1"/>
        <v>0.64379084967320266</v>
      </c>
      <c r="I52" s="128">
        <v>0.8</v>
      </c>
      <c r="J52" s="127">
        <f t="shared" si="23"/>
        <v>168</v>
      </c>
      <c r="K52" s="128">
        <f t="shared" si="2"/>
        <v>0.85279187817258884</v>
      </c>
      <c r="L52" s="251">
        <v>0.57999999999999996</v>
      </c>
      <c r="M52" s="127">
        <f t="shared" si="23"/>
        <v>145</v>
      </c>
      <c r="N52" s="243">
        <f t="shared" si="0"/>
        <v>0.73604060913705582</v>
      </c>
      <c r="O52" s="254">
        <v>0.55000000000000004</v>
      </c>
    </row>
    <row r="53" spans="2:15">
      <c r="B53" s="77" t="s">
        <v>180</v>
      </c>
      <c r="C53" s="79" t="s">
        <v>98</v>
      </c>
      <c r="D53" s="449">
        <f>SUMIFS(Table2[All currently registered regular patients aged 18+],Table2[OrgID],C53,Table2[Rel_D],Details!$D$61)</f>
        <v>5360</v>
      </c>
      <c r="E53" s="431" t="e">
        <f>SUMIFS(#REF!,#REF!,B53,#REF!,Details!$D$61)</f>
        <v>#REF!</v>
      </c>
      <c r="F53" s="121">
        <f>SUMIFS(Table2[B. Patients on the COPD register],Table2[OrgID],$C53,Table2[Rel_D],$B$10)</f>
        <v>55</v>
      </c>
      <c r="G53" s="231">
        <f>SUMIFS(Table2[4 COPD review coded or proxy (MRC) 12m],Table2[OrgID],$C53,Table2[Rel_D],$B$10)</f>
        <v>10</v>
      </c>
      <c r="H53" s="125">
        <f t="shared" si="1"/>
        <v>0.18181818181818182</v>
      </c>
      <c r="I53" s="240">
        <v>0.8</v>
      </c>
      <c r="J53" s="122">
        <f>SUMIFS(Table2[6 CAT Score &amp; MRC scale recorded],Table2[OrgID],$C53,Table2[Rel_D],$B$10)</f>
        <v>6</v>
      </c>
      <c r="K53" s="125">
        <f t="shared" si="2"/>
        <v>0.6</v>
      </c>
      <c r="L53" s="240">
        <v>0.57999999999999996</v>
      </c>
      <c r="M53" s="122">
        <f>SUMIFS(Table2[7 COPD action plan recorded 12m],Table2[OrgID],$C53,Table2[Rel_D],$B$10)</f>
        <v>2</v>
      </c>
      <c r="N53" s="237">
        <f t="shared" si="0"/>
        <v>0.2</v>
      </c>
      <c r="O53" s="248">
        <v>0.55000000000000004</v>
      </c>
    </row>
    <row r="54" spans="2:15">
      <c r="B54" s="73" t="s">
        <v>221</v>
      </c>
      <c r="C54" s="74" t="s">
        <v>99</v>
      </c>
      <c r="D54" s="450">
        <f>SUMIFS(Table2[All currently registered regular patients aged 18+],Table2[OrgID],C54,Table2[Rel_D],Details!$D$61)</f>
        <v>6306</v>
      </c>
      <c r="E54" s="433" t="e">
        <f>SUMIFS(#REF!,#REF!,B54,#REF!,Details!$D$61)</f>
        <v>#REF!</v>
      </c>
      <c r="F54" s="115">
        <f>SUMIFS(Table2[B. Patients on the COPD register],Table2[OrgID],$C54,Table2[Rel_D],$B$10)</f>
        <v>38</v>
      </c>
      <c r="G54" s="229">
        <f>SUMIFS(Table2[4 COPD review coded or proxy (MRC) 12m],Table2[OrgID],$C54,Table2[Rel_D],$B$10)</f>
        <v>34</v>
      </c>
      <c r="H54" s="123">
        <f t="shared" si="1"/>
        <v>0.89473684210526316</v>
      </c>
      <c r="I54" s="241">
        <v>0.8</v>
      </c>
      <c r="J54" s="116">
        <f>SUMIFS(Table2[6 CAT Score &amp; MRC scale recorded],Table2[OrgID],$C54,Table2[Rel_D],$B$10)</f>
        <v>33</v>
      </c>
      <c r="K54" s="123">
        <f t="shared" si="2"/>
        <v>0.97058823529411764</v>
      </c>
      <c r="L54" s="241">
        <v>0.57999999999999996</v>
      </c>
      <c r="M54" s="116">
        <f>SUMIFS(Table2[7 COPD action plan recorded 12m],Table2[OrgID],$C54,Table2[Rel_D],$B$10)</f>
        <v>29</v>
      </c>
      <c r="N54" s="234">
        <f t="shared" si="0"/>
        <v>0.8529411764705882</v>
      </c>
      <c r="O54" s="249">
        <v>0.55000000000000004</v>
      </c>
    </row>
    <row r="55" spans="2:15">
      <c r="B55" s="73" t="s">
        <v>182</v>
      </c>
      <c r="C55" s="74" t="s">
        <v>100</v>
      </c>
      <c r="D55" s="450">
        <f>SUMIFS(Table2[All currently registered regular patients aged 18+],Table2[OrgID],C55,Table2[Rel_D],Details!$D$61)</f>
        <v>5695</v>
      </c>
      <c r="E55" s="433" t="e">
        <f>SUMIFS(#REF!,#REF!,B55,#REF!,Details!$D$61)</f>
        <v>#REF!</v>
      </c>
      <c r="F55" s="115">
        <f>SUMIFS(Table2[B. Patients on the COPD register],Table2[OrgID],$C55,Table2[Rel_D],$B$10)</f>
        <v>61</v>
      </c>
      <c r="G55" s="229">
        <f>SUMIFS(Table2[4 COPD review coded or proxy (MRC) 12m],Table2[OrgID],$C55,Table2[Rel_D],$B$10)</f>
        <v>44</v>
      </c>
      <c r="H55" s="123">
        <f t="shared" si="1"/>
        <v>0.72131147540983609</v>
      </c>
      <c r="I55" s="241">
        <v>0.8</v>
      </c>
      <c r="J55" s="116">
        <f>SUMIFS(Table2[6 CAT Score &amp; MRC scale recorded],Table2[OrgID],$C55,Table2[Rel_D],$B$10)</f>
        <v>36</v>
      </c>
      <c r="K55" s="123">
        <f t="shared" si="2"/>
        <v>0.81818181818181823</v>
      </c>
      <c r="L55" s="241">
        <v>0.57999999999999996</v>
      </c>
      <c r="M55" s="116">
        <f>SUMIFS(Table2[7 COPD action plan recorded 12m],Table2[OrgID],$C55,Table2[Rel_D],$B$10)</f>
        <v>16</v>
      </c>
      <c r="N55" s="234">
        <f t="shared" si="0"/>
        <v>0.36363636363636365</v>
      </c>
      <c r="O55" s="249">
        <v>0.55000000000000004</v>
      </c>
    </row>
    <row r="56" spans="2:15">
      <c r="B56" s="73" t="s">
        <v>183</v>
      </c>
      <c r="C56" s="74" t="s">
        <v>101</v>
      </c>
      <c r="D56" s="450">
        <f>SUMIFS(Table2[All currently registered regular patients aged 18+],Table2[OrgID],C56,Table2[Rel_D],Details!$D$61)</f>
        <v>4725</v>
      </c>
      <c r="E56" s="456" t="e">
        <f>SUMIFS(#REF!,#REF!,B56,#REF!,Details!$D$61)</f>
        <v>#REF!</v>
      </c>
      <c r="F56" s="115">
        <f>SUMIFS(Table2[B. Patients on the COPD register],Table2[OrgID],$C56,Table2[Rel_D],$B$10)</f>
        <v>32</v>
      </c>
      <c r="G56" s="229">
        <f>SUMIFS(Table2[4 COPD review coded or proxy (MRC) 12m],Table2[OrgID],$C56,Table2[Rel_D],$B$10)</f>
        <v>29</v>
      </c>
      <c r="H56" s="123">
        <f t="shared" si="1"/>
        <v>0.90625</v>
      </c>
      <c r="I56" s="241">
        <v>0.8</v>
      </c>
      <c r="J56" s="116">
        <f>SUMIFS(Table2[6 CAT Score &amp; MRC scale recorded],Table2[OrgID],$C56,Table2[Rel_D],$B$10)</f>
        <v>25</v>
      </c>
      <c r="K56" s="123">
        <f t="shared" si="2"/>
        <v>0.86206896551724133</v>
      </c>
      <c r="L56" s="241">
        <v>0.57999999999999996</v>
      </c>
      <c r="M56" s="116">
        <f>SUMIFS(Table2[7 COPD action plan recorded 12m],Table2[OrgID],$C56,Table2[Rel_D],$B$10)</f>
        <v>29</v>
      </c>
      <c r="N56" s="234">
        <f t="shared" si="0"/>
        <v>1</v>
      </c>
      <c r="O56" s="249">
        <v>0.55000000000000004</v>
      </c>
    </row>
    <row r="57" spans="2:15" ht="15.75" thickBot="1">
      <c r="B57" s="75" t="s">
        <v>184</v>
      </c>
      <c r="C57" s="76" t="s">
        <v>102</v>
      </c>
      <c r="D57" s="455">
        <f>SUMIFS(Table2[All currently registered regular patients aged 18+],Table2[OrgID],C57,Table2[Rel_D],Details!$D$61)</f>
        <v>12833</v>
      </c>
      <c r="E57" s="435" t="e">
        <f>SUMIFS(#REF!,#REF!,B57,#REF!,Details!$D$61)</f>
        <v>#REF!</v>
      </c>
      <c r="F57" s="117">
        <f>SUMIFS(Table2[B. Patients on the COPD register],Table2[OrgID],$C57,Table2[Rel_D],$B$10)</f>
        <v>107</v>
      </c>
      <c r="G57" s="230">
        <f>SUMIFS(Table2[4 COPD review coded or proxy (MRC) 12m],Table2[OrgID],$C57,Table2[Rel_D],$B$10)</f>
        <v>83</v>
      </c>
      <c r="H57" s="124">
        <f t="shared" si="1"/>
        <v>0.77570093457943923</v>
      </c>
      <c r="I57" s="242">
        <v>0.8</v>
      </c>
      <c r="J57" s="118">
        <f>SUMIFS(Table2[6 CAT Score &amp; MRC scale recorded],Table2[OrgID],$C57,Table2[Rel_D],$B$10)</f>
        <v>77</v>
      </c>
      <c r="K57" s="124">
        <f t="shared" si="2"/>
        <v>0.92771084337349397</v>
      </c>
      <c r="L57" s="242">
        <v>0.57999999999999996</v>
      </c>
      <c r="M57" s="118">
        <f>SUMIFS(Table2[7 COPD action plan recorded 12m],Table2[OrgID],$C57,Table2[Rel_D],$B$10)</f>
        <v>68</v>
      </c>
      <c r="N57" s="236">
        <f t="shared" si="0"/>
        <v>0.81927710843373491</v>
      </c>
      <c r="O57" s="250">
        <v>0.55000000000000004</v>
      </c>
    </row>
    <row r="58" spans="2:15" ht="16.5" thickBot="1">
      <c r="B58" s="17" t="s">
        <v>185</v>
      </c>
      <c r="C58" s="18" t="s">
        <v>103</v>
      </c>
      <c r="D58" s="447">
        <f t="shared" ref="D58:M58" si="24">SUM(D53:D57)</f>
        <v>34919</v>
      </c>
      <c r="E58" s="448" t="e">
        <f t="shared" si="24"/>
        <v>#REF!</v>
      </c>
      <c r="F58" s="364">
        <f t="shared" si="24"/>
        <v>293</v>
      </c>
      <c r="G58" s="217">
        <f t="shared" si="24"/>
        <v>200</v>
      </c>
      <c r="H58" s="128">
        <f t="shared" si="1"/>
        <v>0.68259385665529015</v>
      </c>
      <c r="I58" s="128">
        <v>0.8</v>
      </c>
      <c r="J58" s="127">
        <f t="shared" si="24"/>
        <v>177</v>
      </c>
      <c r="K58" s="128">
        <f t="shared" si="2"/>
        <v>0.88500000000000001</v>
      </c>
      <c r="L58" s="251">
        <v>0.57999999999999996</v>
      </c>
      <c r="M58" s="127">
        <f t="shared" si="24"/>
        <v>144</v>
      </c>
      <c r="N58" s="243">
        <f t="shared" si="0"/>
        <v>0.72</v>
      </c>
      <c r="O58" s="254">
        <v>0.55000000000000004</v>
      </c>
    </row>
    <row r="59" spans="2:15" ht="20.25" thickBot="1">
      <c r="B59" s="146" t="s">
        <v>186</v>
      </c>
      <c r="C59" s="147" t="s">
        <v>37</v>
      </c>
      <c r="D59" s="457">
        <f>SUM(D58,D52,D46,D39,D31,D27,D21)</f>
        <v>253124</v>
      </c>
      <c r="E59" s="458"/>
      <c r="F59" s="365">
        <f t="shared" ref="F59:M59" si="25">SUM(F58,F52,F46,F39,F31,F27,F21)</f>
        <v>2732</v>
      </c>
      <c r="G59" s="218">
        <f t="shared" si="25"/>
        <v>2092</v>
      </c>
      <c r="H59" s="152">
        <f t="shared" si="1"/>
        <v>0.76573938506588579</v>
      </c>
      <c r="I59" s="152">
        <v>0.8</v>
      </c>
      <c r="J59" s="151">
        <f t="shared" si="25"/>
        <v>1479</v>
      </c>
      <c r="K59" s="152">
        <f t="shared" si="2"/>
        <v>0.70697896749521993</v>
      </c>
      <c r="L59" s="128">
        <v>0.57999999999999996</v>
      </c>
      <c r="M59" s="151">
        <f t="shared" si="25"/>
        <v>1181</v>
      </c>
      <c r="N59" s="244">
        <f t="shared" si="0"/>
        <v>0.56453154875717015</v>
      </c>
      <c r="O59" s="255">
        <v>0.55500413564929696</v>
      </c>
    </row>
  </sheetData>
  <mergeCells count="53">
    <mergeCell ref="D57:E57"/>
    <mergeCell ref="D58:E58"/>
    <mergeCell ref="D59:E59"/>
    <mergeCell ref="G11:N11"/>
    <mergeCell ref="G12:H12"/>
    <mergeCell ref="J12:K12"/>
    <mergeCell ref="M12:N12"/>
    <mergeCell ref="D51:E51"/>
    <mergeCell ref="D52:E52"/>
    <mergeCell ref="D53:E53"/>
    <mergeCell ref="D54:E54"/>
    <mergeCell ref="D55:E55"/>
    <mergeCell ref="D56:E56"/>
    <mergeCell ref="D45:E45"/>
    <mergeCell ref="D46:E46"/>
    <mergeCell ref="D47:E47"/>
    <mergeCell ref="D48:E48"/>
    <mergeCell ref="D49:E49"/>
    <mergeCell ref="D50:E50"/>
    <mergeCell ref="D39:E39"/>
    <mergeCell ref="D40:E40"/>
    <mergeCell ref="D41:E41"/>
    <mergeCell ref="D42:E42"/>
    <mergeCell ref="D43:E43"/>
    <mergeCell ref="D44:E44"/>
    <mergeCell ref="D38:E38"/>
    <mergeCell ref="D27:E27"/>
    <mergeCell ref="D28:E28"/>
    <mergeCell ref="D29:E29"/>
    <mergeCell ref="D30:E30"/>
    <mergeCell ref="D31:E31"/>
    <mergeCell ref="D32:E32"/>
    <mergeCell ref="D33:E33"/>
    <mergeCell ref="D34:E34"/>
    <mergeCell ref="D35:E35"/>
    <mergeCell ref="D36:E36"/>
    <mergeCell ref="D37:E37"/>
    <mergeCell ref="F10:N10"/>
    <mergeCell ref="D12:E12"/>
    <mergeCell ref="D13:E13"/>
    <mergeCell ref="D14:E14"/>
    <mergeCell ref="D26:E26"/>
    <mergeCell ref="D15:E15"/>
    <mergeCell ref="D16:E16"/>
    <mergeCell ref="D17:E17"/>
    <mergeCell ref="D18:E18"/>
    <mergeCell ref="D19:E19"/>
    <mergeCell ref="D20:E20"/>
    <mergeCell ref="D21:E21"/>
    <mergeCell ref="D22:E22"/>
    <mergeCell ref="D23:E23"/>
    <mergeCell ref="D24:E24"/>
    <mergeCell ref="D25:E25"/>
  </mergeCells>
  <pageMargins left="0.7" right="0.7" top="0.75" bottom="0.75" header="0.3" footer="0.3"/>
  <drawing r:id="rId1"/>
  <legacyDrawing r:id="rId2"/>
  <controls>
    <mc:AlternateContent xmlns:mc="http://schemas.openxmlformats.org/markup-compatibility/2006">
      <mc:Choice Requires="x14">
        <control shapeId="18433" r:id="rId3" name="ComboBox1">
          <controlPr defaultSize="0" autoLine="0" linkedCell="Control!E5" listFillRange="Control!B2:C14" r:id="rId4">
            <anchor moveWithCells="1">
              <from>
                <xdr:col>4</xdr:col>
                <xdr:colOff>657225</xdr:colOff>
                <xdr:row>0</xdr:row>
                <xdr:rowOff>76200</xdr:rowOff>
              </from>
              <to>
                <xdr:col>5</xdr:col>
                <xdr:colOff>819150</xdr:colOff>
                <xdr:row>1</xdr:row>
                <xdr:rowOff>161925</xdr:rowOff>
              </to>
            </anchor>
          </controlPr>
        </control>
      </mc:Choice>
      <mc:Fallback>
        <control shapeId="18433" r:id="rId3" name="ComboBox1"/>
      </mc:Fallback>
    </mc:AlternateContent>
  </controls>
  <extLst>
    <ext xmlns:x14="http://schemas.microsoft.com/office/spreadsheetml/2009/9/main" uri="{78C0D931-6437-407d-A8EE-F0AAD7539E65}">
      <x14:conditionalFormattings>
        <x14:conditionalFormatting xmlns:xm="http://schemas.microsoft.com/office/excel/2006/main">
          <x14:cfRule type="iconSet" priority="3" id="{C04D22ED-7996-4229-9FD8-FCC6E1B95493}">
            <x14:iconSet custom="1">
              <x14:cfvo type="percent">
                <xm:f>0</xm:f>
              </x14:cfvo>
              <x14:cfvo type="num">
                <xm:f>0</xm:f>
              </x14:cfvo>
              <x14:cfvo type="num">
                <xm:f>0.8</xm:f>
              </x14:cfvo>
              <x14:cfIcon iconSet="NoIcons" iconId="0"/>
              <x14:cfIcon iconSet="3TrafficLights1" iconId="0"/>
              <x14:cfIcon iconSet="3TrafficLights1" iconId="2"/>
            </x14:iconSet>
          </x14:cfRule>
          <xm:sqref>H40:H45 H47:H51 H53:H57 H13:H20 H22:H26 H28:H30 H32:H38</xm:sqref>
        </x14:conditionalFormatting>
        <x14:conditionalFormatting xmlns:xm="http://schemas.microsoft.com/office/excel/2006/main">
          <x14:cfRule type="iconSet" priority="2" id="{1CA21398-23BB-4002-89DB-C86E3839971C}">
            <x14:iconSet custom="1">
              <x14:cfvo type="percent">
                <xm:f>0</xm:f>
              </x14:cfvo>
              <x14:cfvo type="num">
                <xm:f>0</xm:f>
              </x14:cfvo>
              <x14:cfvo type="num">
                <xm:f>0.57999999999999996</xm:f>
              </x14:cfvo>
              <x14:cfIcon iconSet="NoIcons" iconId="0"/>
              <x14:cfIcon iconSet="3TrafficLights1" iconId="0"/>
              <x14:cfIcon iconSet="3TrafficLights1" iconId="2"/>
            </x14:iconSet>
          </x14:cfRule>
          <xm:sqref>K40:K45 K47:K51 K53:K57 K13:K20 K22:K26 K28:K30 K32:K38</xm:sqref>
        </x14:conditionalFormatting>
        <x14:conditionalFormatting xmlns:xm="http://schemas.microsoft.com/office/excel/2006/main">
          <x14:cfRule type="iconSet" priority="1" id="{C5552FEF-8ED8-4FD7-8441-32DB559ECA15}">
            <x14:iconSet custom="1">
              <x14:cfvo type="percent">
                <xm:f>0</xm:f>
              </x14:cfvo>
              <x14:cfvo type="num">
                <xm:f>0</xm:f>
              </x14:cfvo>
              <x14:cfvo type="num">
                <xm:f>0.55000000000000004</xm:f>
              </x14:cfvo>
              <x14:cfIcon iconSet="NoIcons" iconId="0"/>
              <x14:cfIcon iconSet="3TrafficLights1" iconId="0"/>
              <x14:cfIcon iconSet="3TrafficLights1" iconId="2"/>
            </x14:iconSet>
          </x14:cfRule>
          <xm:sqref>N40:N45 N47:N51 N53:N57 N13:N20 N22:N26 N28:N30 N32:N38</xm:sqref>
        </x14:conditionalFormatting>
      </x14:conditionalFormattings>
    </ext>
    <ext xmlns:x14="http://schemas.microsoft.com/office/spreadsheetml/2009/9/main" uri="{A8765BA9-456A-4dab-B4F3-ACF838C121DE}">
      <x14:slicerList>
        <x14:slicer r:id="rId5"/>
      </x14:slicerList>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41992B-0FDD-420A-B1B6-5C9740F644EE}">
  <sheetPr codeName="Sheet4"/>
  <dimension ref="B2:V59"/>
  <sheetViews>
    <sheetView showGridLines="0" zoomScale="90" zoomScaleNormal="90" workbookViewId="0">
      <pane ySplit="2" topLeftCell="A3" activePane="bottomLeft" state="frozen"/>
      <selection pane="bottomLeft" activeCell="P5" sqref="P5"/>
    </sheetView>
  </sheetViews>
  <sheetFormatPr defaultRowHeight="15"/>
  <cols>
    <col min="1" max="1" width="1.5703125" customWidth="1"/>
    <col min="2" max="2" width="52.7109375" bestFit="1" customWidth="1"/>
    <col min="4" max="4" width="15.28515625" customWidth="1"/>
    <col min="5" max="5" width="16.140625" customWidth="1"/>
    <col min="6" max="6" width="26.7109375" customWidth="1"/>
    <col min="7" max="7" width="19.7109375" customWidth="1"/>
    <col min="8" max="8" width="15.5703125" customWidth="1"/>
    <col min="9" max="9" width="16.140625" customWidth="1"/>
    <col min="10" max="10" width="19.7109375" customWidth="1"/>
    <col min="11" max="11" width="17.85546875" customWidth="1"/>
    <col min="12" max="12" width="9.5703125" customWidth="1"/>
    <col min="13" max="13" width="14.85546875" customWidth="1"/>
    <col min="14" max="14" width="18.85546875" customWidth="1"/>
  </cols>
  <sheetData>
    <row r="2" spans="2:22" ht="15.75">
      <c r="G2" s="285"/>
    </row>
    <row r="3" spans="2:22" ht="20.25" customHeight="1"/>
    <row r="4" spans="2:22" ht="38.25" customHeight="1"/>
    <row r="5" spans="2:22" ht="38.25" customHeight="1"/>
    <row r="6" spans="2:22" ht="38.25" customHeight="1"/>
    <row r="7" spans="2:22" ht="38.25" customHeight="1"/>
    <row r="8" spans="2:22" ht="38.25" customHeight="1"/>
    <row r="9" spans="2:22" ht="38.25" customHeight="1"/>
    <row r="10" spans="2:22" ht="16.5" thickBot="1">
      <c r="B10" s="392" t="str">
        <f>Control!F2</f>
        <v>01/04/2022</v>
      </c>
      <c r="F10" s="492" t="s">
        <v>22</v>
      </c>
      <c r="G10" s="493"/>
      <c r="H10" s="494"/>
      <c r="I10" s="494"/>
      <c r="J10" s="494"/>
      <c r="K10" s="494"/>
      <c r="L10" s="494"/>
      <c r="M10" s="494"/>
      <c r="N10" s="494"/>
      <c r="O10" s="494"/>
      <c r="P10" s="247"/>
    </row>
    <row r="11" spans="2:22" ht="16.5" thickBot="1">
      <c r="F11" s="363"/>
      <c r="G11" s="227"/>
      <c r="H11" s="491" t="s">
        <v>112</v>
      </c>
      <c r="I11" s="491"/>
      <c r="J11" s="491"/>
      <c r="K11" s="491"/>
      <c r="L11" s="491"/>
      <c r="M11" s="491"/>
      <c r="N11" s="491"/>
      <c r="O11" s="491"/>
      <c r="P11" s="359"/>
    </row>
    <row r="12" spans="2:22" ht="102.75" customHeight="1" thickBot="1">
      <c r="B12" s="13" t="s">
        <v>113</v>
      </c>
      <c r="C12" s="14" t="s">
        <v>114</v>
      </c>
      <c r="D12" s="495" t="s">
        <v>115</v>
      </c>
      <c r="E12" s="496"/>
      <c r="F12" s="471" t="s">
        <v>22</v>
      </c>
      <c r="G12" s="472"/>
      <c r="H12" s="473" t="s">
        <v>127</v>
      </c>
      <c r="I12" s="474"/>
      <c r="J12" s="281" t="s">
        <v>230</v>
      </c>
      <c r="K12" s="475" t="s">
        <v>129</v>
      </c>
      <c r="L12" s="473"/>
      <c r="M12" s="280" t="s">
        <v>231</v>
      </c>
      <c r="N12" s="475" t="s">
        <v>131</v>
      </c>
      <c r="O12" s="476"/>
      <c r="P12" s="279" t="s">
        <v>232</v>
      </c>
    </row>
    <row r="13" spans="2:22" ht="15" customHeight="1">
      <c r="B13" s="71" t="s">
        <v>141</v>
      </c>
      <c r="C13" s="72" t="s">
        <v>52</v>
      </c>
      <c r="D13" s="449">
        <f>SUMIFS(Table2[All currently registered regular patients aged 18+],Table2[OrgID],C13,Table2[Rel_D],Details!$D$61)</f>
        <v>3093</v>
      </c>
      <c r="E13" s="431" t="e">
        <f>SUMIFS(#REF!,#REF!,B13,#REF!,Details!$D$61)</f>
        <v>#REF!</v>
      </c>
      <c r="F13" s="461">
        <f>SUMIFS(Table2[C. Patients on the asthma register],Table2[OrgID],$C13,Table2[Rel_D],$B$10)</f>
        <v>226</v>
      </c>
      <c r="G13" s="462" t="e">
        <f>SUMIFS(#REF!,#REF!,$D13,#REF!,$D$61)</f>
        <v>#REF!</v>
      </c>
      <c r="H13" s="12">
        <f>SUMIFS(Table2[8 Asthma review coded or proxy (inhaler technique) 12m],Table2[OrgID],$C13,Table2[Rel_D],$B$10)</f>
        <v>168</v>
      </c>
      <c r="I13" s="97">
        <f>IFERROR(H13/F13, "-")</f>
        <v>0.74336283185840712</v>
      </c>
      <c r="J13" s="259">
        <v>0.71</v>
      </c>
      <c r="K13" s="98">
        <f>SUMIFS(Table2[10 Asthma Action Plan recorded 12m],Table2[OrgID],$C13,Table2[Rel_D],$B$10)</f>
        <v>166</v>
      </c>
      <c r="L13" s="97">
        <f>IFERROR(K13/H13,"-")</f>
        <v>0.98809523809523814</v>
      </c>
      <c r="M13" s="259">
        <v>0.9</v>
      </c>
      <c r="N13" s="80">
        <f>SUMIFS(Table2[11 ACT recorded],Table2[OrgID],$C13,Table2[Rel_D],$B$10)</f>
        <v>164</v>
      </c>
      <c r="O13" s="292">
        <f t="shared" ref="O13:O59" si="0">IFERROR(N13/H13, "-")</f>
        <v>0.97619047619047616</v>
      </c>
      <c r="P13" s="299">
        <v>0.8</v>
      </c>
      <c r="Q13" s="5"/>
      <c r="R13" s="5"/>
      <c r="S13" s="5"/>
      <c r="T13" s="5"/>
      <c r="U13" s="285"/>
    </row>
    <row r="14" spans="2:22" ht="15" customHeight="1">
      <c r="B14" s="73" t="s">
        <v>142</v>
      </c>
      <c r="C14" s="74" t="s">
        <v>54</v>
      </c>
      <c r="D14" s="450">
        <f>SUMIFS(Table2[All currently registered regular patients aged 18+],Table2[OrgID],C14,Table2[Rel_D],Details!$D$61)</f>
        <v>6563</v>
      </c>
      <c r="E14" s="433" t="e">
        <f>SUMIFS(#REF!,#REF!,B14,#REF!,Details!$D$61)</f>
        <v>#REF!</v>
      </c>
      <c r="F14" s="433">
        <f>SUMIFS(Table2[C. Patients on the asthma register],Table2[OrgID],$C14,Table2[Rel_D],$B$10)</f>
        <v>332</v>
      </c>
      <c r="G14" s="434" t="e">
        <f>SUMIFS(#REF!,#REF!,$D14,#REF!,$D$61)</f>
        <v>#REF!</v>
      </c>
      <c r="H14" s="2">
        <f>SUMIFS(Table2[8 Asthma review coded or proxy (inhaler technique) 12m],Table2[OrgID],$C14,Table2[Rel_D],$B$10)</f>
        <v>224</v>
      </c>
      <c r="I14" s="93">
        <f t="shared" ref="I14:I59" si="1">IFERROR(H14/F14, "-")</f>
        <v>0.67469879518072284</v>
      </c>
      <c r="J14" s="260">
        <v>0.71</v>
      </c>
      <c r="K14" s="94">
        <f>SUMIFS(Table2[10 Asthma Action Plan recorded 12m],Table2[OrgID],$C14,Table2[Rel_D],$B$10)</f>
        <v>214</v>
      </c>
      <c r="L14" s="93">
        <f t="shared" ref="L14:L59" si="2">IFERROR(K14/H14,"-")</f>
        <v>0.9553571428571429</v>
      </c>
      <c r="M14" s="260">
        <v>0.9</v>
      </c>
      <c r="N14" s="69">
        <f>SUMIFS(Table2[11 ACT recorded],Table2[OrgID],$C14,Table2[Rel_D],$B$10)</f>
        <v>212</v>
      </c>
      <c r="O14" s="293">
        <f t="shared" si="0"/>
        <v>0.9464285714285714</v>
      </c>
      <c r="P14" s="300">
        <v>0.8</v>
      </c>
      <c r="Q14" s="5"/>
      <c r="R14" s="5"/>
      <c r="S14" s="5"/>
      <c r="T14" s="5"/>
      <c r="U14" s="5"/>
      <c r="V14" s="5"/>
    </row>
    <row r="15" spans="2:22" ht="15" customHeight="1">
      <c r="B15" s="73" t="s">
        <v>34</v>
      </c>
      <c r="C15" s="74" t="s">
        <v>57</v>
      </c>
      <c r="D15" s="450">
        <f>IF(COUNTIFS(Table2[OrgID],C15,Table2[Rel_D],Details!$D$61) =0,"-",SUMIFS(Table2[All currently registered regular patients aged 18+],Table2[OrgID],C15,Table2[Rel_D],Details!$D$61))</f>
        <v>4056</v>
      </c>
      <c r="E15" s="433" t="e">
        <f>SUMIFS(#REF!,#REF!,B15,#REF!,Details!$D$61)</f>
        <v>#REF!</v>
      </c>
      <c r="F15" s="433">
        <f>SUMIFS(Table2[C. Patients on the asthma register],Table2[OrgID],$C15,Table2[Rel_D],$B$10)</f>
        <v>213</v>
      </c>
      <c r="G15" s="434" t="e">
        <f>SUMIFS(#REF!,#REF!,$D15,#REF!,$D$61)</f>
        <v>#REF!</v>
      </c>
      <c r="H15" s="2">
        <f>SUMIFS(Table2[8 Asthma review coded or proxy (inhaler technique) 12m],Table2[OrgID],$C15,Table2[Rel_D],$B$10)</f>
        <v>137</v>
      </c>
      <c r="I15" s="93">
        <f t="shared" ref="I15" si="3">IFERROR(H15/F15, "-")</f>
        <v>0.64319248826291076</v>
      </c>
      <c r="J15" s="260">
        <v>0.71</v>
      </c>
      <c r="K15" s="94">
        <f>SUMIFS(Table2[10 Asthma Action Plan recorded 12m],Table2[OrgID],$C15,Table2[Rel_D],$B$10)</f>
        <v>135</v>
      </c>
      <c r="L15" s="93">
        <f t="shared" ref="L15" si="4">IFERROR(K15/H15,"-")</f>
        <v>0.98540145985401462</v>
      </c>
      <c r="M15" s="260">
        <v>0.9</v>
      </c>
      <c r="N15" s="69">
        <f>SUMIFS(Table2[11 ACT recorded],Table2[OrgID],$C15,Table2[Rel_D],$B$10)</f>
        <v>136</v>
      </c>
      <c r="O15" s="293">
        <f t="shared" ref="O15" si="5">IFERROR(N15/H15, "-")</f>
        <v>0.99270072992700731</v>
      </c>
      <c r="P15" s="300">
        <v>0.8</v>
      </c>
      <c r="Q15" s="4"/>
      <c r="R15" s="4"/>
      <c r="S15" s="4"/>
      <c r="T15" s="4"/>
      <c r="U15" s="4"/>
      <c r="V15" s="4"/>
    </row>
    <row r="16" spans="2:22" ht="15" customHeight="1">
      <c r="B16" s="73" t="s">
        <v>224</v>
      </c>
      <c r="C16" s="74" t="s">
        <v>61</v>
      </c>
      <c r="D16" s="450">
        <f>SUMIFS(Table2[All currently registered regular patients aged 18+],Table2[OrgID],C16,Table2[Rel_D],Details!$D$61)</f>
        <v>7294</v>
      </c>
      <c r="E16" s="433" t="e">
        <f>SUMIFS(#REF!,#REF!,B16,#REF!,Details!$D$61)</f>
        <v>#REF!</v>
      </c>
      <c r="F16" s="433">
        <f>SUMIFS(Table2[C. Patients on the asthma register],Table2[OrgID],$C16,Table2[Rel_D],$B$10)</f>
        <v>386</v>
      </c>
      <c r="G16" s="434" t="e">
        <f>SUMIFS(#REF!,#REF!,$D16,#REF!,$D$61)</f>
        <v>#REF!</v>
      </c>
      <c r="H16" s="2">
        <f>SUMIFS(Table2[8 Asthma review coded or proxy (inhaler technique) 12m],Table2[OrgID],$C16,Table2[Rel_D],$B$10)</f>
        <v>192</v>
      </c>
      <c r="I16" s="93">
        <f t="shared" si="1"/>
        <v>0.49740932642487046</v>
      </c>
      <c r="J16" s="260">
        <v>0.71</v>
      </c>
      <c r="K16" s="94">
        <f>SUMIFS(Table2[10 Asthma Action Plan recorded 12m],Table2[OrgID],$C16,Table2[Rel_D],$B$10)</f>
        <v>178</v>
      </c>
      <c r="L16" s="93">
        <f t="shared" si="2"/>
        <v>0.92708333333333337</v>
      </c>
      <c r="M16" s="260">
        <v>0.9</v>
      </c>
      <c r="N16" s="69">
        <f>SUMIFS(Table2[11 ACT recorded],Table2[OrgID],$C16,Table2[Rel_D],$B$10)</f>
        <v>182</v>
      </c>
      <c r="O16" s="293">
        <f t="shared" si="0"/>
        <v>0.94791666666666663</v>
      </c>
      <c r="P16" s="300">
        <v>0.8</v>
      </c>
    </row>
    <row r="17" spans="2:16">
      <c r="B17" s="73" t="s">
        <v>144</v>
      </c>
      <c r="C17" s="74" t="s">
        <v>64</v>
      </c>
      <c r="D17" s="450">
        <f>SUMIFS(Table2[All currently registered regular patients aged 18+],Table2[OrgID],C17,Table2[Rel_D],Details!$D$61)</f>
        <v>5457</v>
      </c>
      <c r="E17" s="433" t="e">
        <f>SUMIFS(#REF!,#REF!,B17,#REF!,Details!$D$61)</f>
        <v>#REF!</v>
      </c>
      <c r="F17" s="433">
        <f>SUMIFS(Table2[C. Patients on the asthma register],Table2[OrgID],$C17,Table2[Rel_D],$B$10)</f>
        <v>199</v>
      </c>
      <c r="G17" s="434" t="e">
        <f>SUMIFS(#REF!,#REF!,$D17,#REF!,$D$61)</f>
        <v>#REF!</v>
      </c>
      <c r="H17" s="2">
        <f>SUMIFS(Table2[8 Asthma review coded or proxy (inhaler technique) 12m],Table2[OrgID],$C17,Table2[Rel_D],$B$10)</f>
        <v>135</v>
      </c>
      <c r="I17" s="93">
        <f t="shared" si="1"/>
        <v>0.67839195979899503</v>
      </c>
      <c r="J17" s="260">
        <v>0.71</v>
      </c>
      <c r="K17" s="94">
        <f>SUMIFS(Table2[10 Asthma Action Plan recorded 12m],Table2[OrgID],$C17,Table2[Rel_D],$B$10)</f>
        <v>121</v>
      </c>
      <c r="L17" s="93">
        <f t="shared" si="2"/>
        <v>0.89629629629629626</v>
      </c>
      <c r="M17" s="260">
        <v>0.9</v>
      </c>
      <c r="N17" s="69">
        <f>SUMIFS(Table2[11 ACT recorded],Table2[OrgID],$C17,Table2[Rel_D],$B$10)</f>
        <v>113</v>
      </c>
      <c r="O17" s="293">
        <f t="shared" si="0"/>
        <v>0.83703703703703702</v>
      </c>
      <c r="P17" s="300">
        <v>0.8</v>
      </c>
    </row>
    <row r="18" spans="2:16">
      <c r="B18" s="73" t="s">
        <v>145</v>
      </c>
      <c r="C18" s="74" t="s">
        <v>65</v>
      </c>
      <c r="D18" s="450">
        <f>SUMIFS(Table2[All currently registered regular patients aged 18+],Table2[OrgID],C18,Table2[Rel_D],Details!$D$61)</f>
        <v>4824</v>
      </c>
      <c r="E18" s="433" t="e">
        <f>SUMIFS(#REF!,#REF!,B18,#REF!,Details!$D$61)</f>
        <v>#REF!</v>
      </c>
      <c r="F18" s="433">
        <f>SUMIFS(Table2[C. Patients on the asthma register],Table2[OrgID],$C18,Table2[Rel_D],$B$10)</f>
        <v>310</v>
      </c>
      <c r="G18" s="434" t="e">
        <f>SUMIFS(#REF!,#REF!,$D18,#REF!,$D$61)</f>
        <v>#REF!</v>
      </c>
      <c r="H18" s="2">
        <f>SUMIFS(Table2[8 Asthma review coded or proxy (inhaler technique) 12m],Table2[OrgID],$C18,Table2[Rel_D],$B$10)</f>
        <v>166</v>
      </c>
      <c r="I18" s="93">
        <f t="shared" si="1"/>
        <v>0.53548387096774197</v>
      </c>
      <c r="J18" s="260">
        <v>0.71</v>
      </c>
      <c r="K18" s="94">
        <f>SUMIFS(Table2[10 Asthma Action Plan recorded 12m],Table2[OrgID],$C18,Table2[Rel_D],$B$10)</f>
        <v>160</v>
      </c>
      <c r="L18" s="93">
        <f t="shared" si="2"/>
        <v>0.96385542168674698</v>
      </c>
      <c r="M18" s="260">
        <v>0.9</v>
      </c>
      <c r="N18" s="69">
        <f>SUMIFS(Table2[11 ACT recorded],Table2[OrgID],$C18,Table2[Rel_D],$B$10)</f>
        <v>156</v>
      </c>
      <c r="O18" s="293">
        <f t="shared" si="0"/>
        <v>0.93975903614457834</v>
      </c>
      <c r="P18" s="300">
        <v>0.8</v>
      </c>
    </row>
    <row r="19" spans="2:16">
      <c r="B19" s="73" t="s">
        <v>146</v>
      </c>
      <c r="C19" s="74" t="s">
        <v>66</v>
      </c>
      <c r="D19" s="450">
        <f>SUMIFS(Table2[All currently registered regular patients aged 18+],Table2[OrgID],C19,Table2[Rel_D],Details!$D$61)</f>
        <v>3253</v>
      </c>
      <c r="E19" s="433" t="e">
        <f>SUMIFS(#REF!,#REF!,B19,#REF!,Details!$D$61)</f>
        <v>#REF!</v>
      </c>
      <c r="F19" s="433">
        <f>SUMIFS(Table2[C. Patients on the asthma register],Table2[OrgID],$C19,Table2[Rel_D],$B$10)</f>
        <v>188</v>
      </c>
      <c r="G19" s="434" t="e">
        <f>SUMIFS(#REF!,#REF!,$D19,#REF!,$D$61)</f>
        <v>#REF!</v>
      </c>
      <c r="H19" s="2">
        <f>SUMIFS(Table2[8 Asthma review coded or proxy (inhaler technique) 12m],Table2[OrgID],$C19,Table2[Rel_D],$B$10)</f>
        <v>130</v>
      </c>
      <c r="I19" s="93">
        <f t="shared" si="1"/>
        <v>0.69148936170212771</v>
      </c>
      <c r="J19" s="260">
        <v>0.71</v>
      </c>
      <c r="K19" s="94">
        <f>SUMIFS(Table2[10 Asthma Action Plan recorded 12m],Table2[OrgID],$C19,Table2[Rel_D],$B$10)</f>
        <v>117</v>
      </c>
      <c r="L19" s="93">
        <f t="shared" si="2"/>
        <v>0.9</v>
      </c>
      <c r="M19" s="260">
        <v>0.9</v>
      </c>
      <c r="N19" s="69">
        <f>SUMIFS(Table2[11 ACT recorded],Table2[OrgID],$C19,Table2[Rel_D],$B$10)</f>
        <v>119</v>
      </c>
      <c r="O19" s="293">
        <f t="shared" si="0"/>
        <v>0.91538461538461535</v>
      </c>
      <c r="P19" s="300">
        <v>0.8</v>
      </c>
    </row>
    <row r="20" spans="2:16" ht="15.75" thickBot="1">
      <c r="B20" s="75" t="s">
        <v>147</v>
      </c>
      <c r="C20" s="76" t="s">
        <v>58</v>
      </c>
      <c r="D20" s="455">
        <f>IF(COUNTIFS(Table2[OrgID],C20,Table2[Rel_D],Details!$D$61) =0,"-",SUMIFS(Table2[All currently registered regular patients aged 18+],Table2[OrgID],C20,Table2[Rel_D],Details!$D$61))</f>
        <v>5585</v>
      </c>
      <c r="E20" s="435" t="e">
        <f>SUMIFS(#REF!,#REF!,B20,#REF!,Details!$D$61)</f>
        <v>#REF!</v>
      </c>
      <c r="F20" s="433">
        <f>SUMIFS(Table2[C. Patients on the asthma register],Table2[OrgID],$C20,Table2[Rel_D],$B$10)</f>
        <v>356</v>
      </c>
      <c r="G20" s="434" t="e">
        <f>SUMIFS(#REF!,#REF!,$D20,#REF!,$D$61)</f>
        <v>#REF!</v>
      </c>
      <c r="H20" s="2">
        <f>SUMIFS(Table2[8 Asthma review coded or proxy (inhaler technique) 12m],Table2[OrgID],$C20,Table2[Rel_D],$B$10)</f>
        <v>340</v>
      </c>
      <c r="I20" s="93">
        <f t="shared" si="1"/>
        <v>0.9550561797752809</v>
      </c>
      <c r="J20" s="260">
        <v>0.71</v>
      </c>
      <c r="K20" s="94">
        <f>SUMIFS(Table2[10 Asthma Action Plan recorded 12m],Table2[OrgID],$C20,Table2[Rel_D],$B$10)</f>
        <v>251</v>
      </c>
      <c r="L20" s="93">
        <f t="shared" ref="L20" si="6">IFERROR(K20/H20,"-")</f>
        <v>0.7382352941176471</v>
      </c>
      <c r="M20" s="260">
        <v>0.9</v>
      </c>
      <c r="N20" s="69">
        <f>SUMIFS(Table2[11 ACT recorded],Table2[OrgID],$C20,Table2[Rel_D],$B$10)</f>
        <v>248</v>
      </c>
      <c r="O20" s="293">
        <f t="shared" ref="O20" si="7">IFERROR(N20/H20, "-")</f>
        <v>0.72941176470588232</v>
      </c>
      <c r="P20" s="301">
        <v>0.8</v>
      </c>
    </row>
    <row r="21" spans="2:16" ht="15.75" thickBot="1">
      <c r="B21" s="17" t="s">
        <v>148</v>
      </c>
      <c r="C21" s="18" t="s">
        <v>67</v>
      </c>
      <c r="D21" s="447">
        <f t="shared" ref="D21:G21" si="8">SUM(D13:D20)</f>
        <v>40125</v>
      </c>
      <c r="E21" s="448" t="e">
        <f t="shared" si="8"/>
        <v>#REF!</v>
      </c>
      <c r="F21" s="445">
        <f t="shared" si="8"/>
        <v>2210</v>
      </c>
      <c r="G21" s="446" t="e">
        <f t="shared" si="8"/>
        <v>#REF!</v>
      </c>
      <c r="H21" s="130">
        <f>SUM(H13:H20)</f>
        <v>1492</v>
      </c>
      <c r="I21" s="131">
        <f t="shared" si="1"/>
        <v>0.67511312217194575</v>
      </c>
      <c r="J21" s="131">
        <v>0.71</v>
      </c>
      <c r="K21" s="132">
        <f>SUM(K13:K20)</f>
        <v>1342</v>
      </c>
      <c r="L21" s="131">
        <f t="shared" si="2"/>
        <v>0.89946380697050943</v>
      </c>
      <c r="M21" s="131">
        <v>0.9</v>
      </c>
      <c r="N21" s="133">
        <f>SUM(N13:N20)</f>
        <v>1330</v>
      </c>
      <c r="O21" s="294">
        <f t="shared" si="0"/>
        <v>0.89142091152815017</v>
      </c>
      <c r="P21" s="134">
        <v>0.8</v>
      </c>
    </row>
    <row r="22" spans="2:16">
      <c r="B22" s="77" t="s">
        <v>149</v>
      </c>
      <c r="C22" s="78" t="s">
        <v>56</v>
      </c>
      <c r="D22" s="449">
        <f>IF(COUNTIFS(Table2[OrgID],C22,Table2[Rel_D],Details!$D$61) =0,"-",SUMIFS(Table2[All currently registered regular patients aged 18+],Table2[OrgID],C22,Table2[Rel_D],Details!$D$61))</f>
        <v>12435</v>
      </c>
      <c r="E22" s="431" t="e">
        <f>SUMIFS(#REF!,#REF!,B22,#REF!,Details!$D$61)</f>
        <v>#REF!</v>
      </c>
      <c r="F22" s="433">
        <f>SUMIFS(Table2[C. Patients on the asthma register],Table2[OrgID],$C22,Table2[Rel_D],$B$10)</f>
        <v>756</v>
      </c>
      <c r="G22" s="434" t="e">
        <f>SUMIFS(#REF!,#REF!,$D22,#REF!,$D$61)</f>
        <v>#REF!</v>
      </c>
      <c r="H22" s="2">
        <f>SUMIFS(Table2[8 Asthma review coded or proxy (inhaler technique) 12m],Table2[OrgID],$C22,Table2[Rel_D],$B$10)</f>
        <v>482</v>
      </c>
      <c r="I22" s="93">
        <f t="shared" ref="I22" si="9">IFERROR(H22/F22, "-")</f>
        <v>0.63756613756613756</v>
      </c>
      <c r="J22" s="260">
        <v>0.71</v>
      </c>
      <c r="K22" s="94">
        <f>SUMIFS(Table2[10 Asthma Action Plan recorded 12m],Table2[OrgID],$C22,Table2[Rel_D],$B$10)</f>
        <v>455</v>
      </c>
      <c r="L22" s="93">
        <f t="shared" ref="L22" si="10">IFERROR(K22/H22,"-")</f>
        <v>0.94398340248962653</v>
      </c>
      <c r="M22" s="260">
        <v>0.9</v>
      </c>
      <c r="N22" s="69">
        <f>SUMIFS(Table2[11 ACT recorded],Table2[OrgID],$C22,Table2[Rel_D],$B$10)</f>
        <v>476</v>
      </c>
      <c r="O22" s="293">
        <f t="shared" ref="O22" si="11">IFERROR(N22/H22, "-")</f>
        <v>0.98755186721991706</v>
      </c>
      <c r="P22" s="299">
        <v>0.8</v>
      </c>
    </row>
    <row r="23" spans="2:16">
      <c r="B23" s="73" t="s">
        <v>150</v>
      </c>
      <c r="C23" s="74" t="s">
        <v>69</v>
      </c>
      <c r="D23" s="450">
        <f>SUMIFS(Table2[All currently registered regular patients aged 18+],Table2[OrgID],C23,Table2[Rel_D],Details!$D$61)</f>
        <v>7143</v>
      </c>
      <c r="E23" s="433" t="e">
        <f>SUMIFS(#REF!,#REF!,B23,#REF!,Details!$D$61)</f>
        <v>#REF!</v>
      </c>
      <c r="F23" s="433">
        <f>SUMIFS(Table2[C. Patients on the asthma register],Table2[OrgID],$C23,Table2[Rel_D],$B$10)</f>
        <v>453</v>
      </c>
      <c r="G23" s="434" t="e">
        <f>SUMIFS(#REF!,#REF!,$D23,#REF!,$D$61)</f>
        <v>#REF!</v>
      </c>
      <c r="H23" s="2">
        <f>SUMIFS(Table2[8 Asthma review coded or proxy (inhaler technique) 12m],Table2[OrgID],$C23,Table2[Rel_D],$B$10)</f>
        <v>331</v>
      </c>
      <c r="I23" s="93">
        <f t="shared" si="1"/>
        <v>0.73068432671081673</v>
      </c>
      <c r="J23" s="260">
        <v>0.71</v>
      </c>
      <c r="K23" s="94">
        <f>SUMIFS(Table2[10 Asthma Action Plan recorded 12m],Table2[OrgID],$C23,Table2[Rel_D],$B$10)</f>
        <v>325</v>
      </c>
      <c r="L23" s="93">
        <f t="shared" si="2"/>
        <v>0.98187311178247738</v>
      </c>
      <c r="M23" s="260">
        <v>0.9</v>
      </c>
      <c r="N23" s="69">
        <f>SUMIFS(Table2[11 ACT recorded],Table2[OrgID],$C23,Table2[Rel_D],$B$10)</f>
        <v>323</v>
      </c>
      <c r="O23" s="293">
        <f t="shared" si="0"/>
        <v>0.97583081570996977</v>
      </c>
      <c r="P23" s="300">
        <v>0.8</v>
      </c>
    </row>
    <row r="24" spans="2:16">
      <c r="B24" s="73" t="s">
        <v>151</v>
      </c>
      <c r="C24" s="74" t="s">
        <v>70</v>
      </c>
      <c r="D24" s="450">
        <f>SUMIFS(Table2[All currently registered regular patients aged 18+],Table2[OrgID],C24,Table2[Rel_D],Details!$D$61)</f>
        <v>10588</v>
      </c>
      <c r="E24" s="433" t="e">
        <f>SUMIFS(#REF!,#REF!,B24,#REF!,Details!$D$61)</f>
        <v>#REF!</v>
      </c>
      <c r="F24" s="433">
        <f>SUMIFS(Table2[C. Patients on the asthma register],Table2[OrgID],$C24,Table2[Rel_D],$B$10)</f>
        <v>714</v>
      </c>
      <c r="G24" s="434" t="e">
        <f>SUMIFS(#REF!,#REF!,$D24,#REF!,$D$61)</f>
        <v>#REF!</v>
      </c>
      <c r="H24" s="2">
        <f>SUMIFS(Table2[8 Asthma review coded or proxy (inhaler technique) 12m],Table2[OrgID],$C24,Table2[Rel_D],$B$10)</f>
        <v>537</v>
      </c>
      <c r="I24" s="93">
        <f t="shared" si="1"/>
        <v>0.75210084033613445</v>
      </c>
      <c r="J24" s="260">
        <v>0.71</v>
      </c>
      <c r="K24" s="94">
        <f>SUMIFS(Table2[10 Asthma Action Plan recorded 12m],Table2[OrgID],$C24,Table2[Rel_D],$B$10)</f>
        <v>521</v>
      </c>
      <c r="L24" s="93">
        <f t="shared" si="2"/>
        <v>0.97020484171322163</v>
      </c>
      <c r="M24" s="260">
        <v>0.9</v>
      </c>
      <c r="N24" s="69">
        <f>SUMIFS(Table2[11 ACT recorded],Table2[OrgID],$C24,Table2[Rel_D],$B$10)</f>
        <v>529</v>
      </c>
      <c r="O24" s="293">
        <f t="shared" si="0"/>
        <v>0.98510242085661082</v>
      </c>
      <c r="P24" s="300">
        <v>0.8</v>
      </c>
    </row>
    <row r="25" spans="2:16">
      <c r="B25" s="73" t="s">
        <v>152</v>
      </c>
      <c r="C25" s="74" t="s">
        <v>71</v>
      </c>
      <c r="D25" s="450">
        <f>SUMIFS(Table2[All currently registered regular patients aged 18+],Table2[OrgID],C25,Table2[Rel_D],Details!$D$61)</f>
        <v>5687</v>
      </c>
      <c r="E25" s="433" t="e">
        <f>SUMIFS(#REF!,#REF!,B25,#REF!,Details!$D$61)</f>
        <v>#REF!</v>
      </c>
      <c r="F25" s="433">
        <f>SUMIFS(Table2[C. Patients on the asthma register],Table2[OrgID],$C25,Table2[Rel_D],$B$10)</f>
        <v>326</v>
      </c>
      <c r="G25" s="434" t="e">
        <f>SUMIFS(#REF!,#REF!,$D25,#REF!,$D$61)</f>
        <v>#REF!</v>
      </c>
      <c r="H25" s="2">
        <f>SUMIFS(Table2[8 Asthma review coded or proxy (inhaler technique) 12m],Table2[OrgID],$C25,Table2[Rel_D],$B$10)</f>
        <v>201</v>
      </c>
      <c r="I25" s="93">
        <f t="shared" si="1"/>
        <v>0.6165644171779141</v>
      </c>
      <c r="J25" s="260">
        <v>0.71</v>
      </c>
      <c r="K25" s="94">
        <f>SUMIFS(Table2[10 Asthma Action Plan recorded 12m],Table2[OrgID],$C25,Table2[Rel_D],$B$10)</f>
        <v>200</v>
      </c>
      <c r="L25" s="93">
        <f t="shared" si="2"/>
        <v>0.99502487562189057</v>
      </c>
      <c r="M25" s="260">
        <v>0.9</v>
      </c>
      <c r="N25" s="69">
        <f>SUMIFS(Table2[11 ACT recorded],Table2[OrgID],$C25,Table2[Rel_D],$B$10)</f>
        <v>200</v>
      </c>
      <c r="O25" s="293">
        <f t="shared" si="0"/>
        <v>0.99502487562189057</v>
      </c>
      <c r="P25" s="300">
        <v>0.8</v>
      </c>
    </row>
    <row r="26" spans="2:16" ht="15.75" thickBot="1">
      <c r="B26" s="75" t="s">
        <v>153</v>
      </c>
      <c r="C26" s="76" t="s">
        <v>72</v>
      </c>
      <c r="D26" s="455">
        <f>SUMIFS(Table2[All currently registered regular patients aged 18+],Table2[OrgID],C26,Table2[Rel_D],Details!$D$61)</f>
        <v>6045</v>
      </c>
      <c r="E26" s="435" t="e">
        <f>SUMIFS(#REF!,#REF!,B26,#REF!,Details!$D$61)</f>
        <v>#REF!</v>
      </c>
      <c r="F26" s="435">
        <f>SUMIFS(Table2[C. Patients on the asthma register],Table2[OrgID],$C26,Table2[Rel_D],$B$10)</f>
        <v>405</v>
      </c>
      <c r="G26" s="436" t="e">
        <f>SUMIFS(#REF!,#REF!,$D26,#REF!,$D$61)</f>
        <v>#REF!</v>
      </c>
      <c r="H26" s="3">
        <f>SUMIFS(Table2[8 Asthma review coded or proxy (inhaler technique) 12m],Table2[OrgID],$C26,Table2[Rel_D],$B$10)</f>
        <v>273</v>
      </c>
      <c r="I26" s="95">
        <f t="shared" si="1"/>
        <v>0.67407407407407405</v>
      </c>
      <c r="J26" s="261">
        <v>0.71</v>
      </c>
      <c r="K26" s="96">
        <f>SUMIFS(Table2[10 Asthma Action Plan recorded 12m],Table2[OrgID],$C26,Table2[Rel_D],$B$10)</f>
        <v>266</v>
      </c>
      <c r="L26" s="95">
        <f t="shared" si="2"/>
        <v>0.97435897435897434</v>
      </c>
      <c r="M26" s="261">
        <v>0.9</v>
      </c>
      <c r="N26" s="70">
        <f>SUMIFS(Table2[11 ACT recorded],Table2[OrgID],$C26,Table2[Rel_D],$B$10)</f>
        <v>264</v>
      </c>
      <c r="O26" s="295">
        <f t="shared" si="0"/>
        <v>0.96703296703296704</v>
      </c>
      <c r="P26" s="301">
        <v>0.8</v>
      </c>
    </row>
    <row r="27" spans="2:16" ht="15.75" thickBot="1">
      <c r="B27" s="17" t="s">
        <v>154</v>
      </c>
      <c r="C27" s="18" t="s">
        <v>74</v>
      </c>
      <c r="D27" s="447">
        <f>SUM(D22:D26)</f>
        <v>41898</v>
      </c>
      <c r="E27" s="448" t="e">
        <f t="shared" ref="E27:G27" si="12">SUM(E22:E26)</f>
        <v>#REF!</v>
      </c>
      <c r="F27" s="445">
        <f t="shared" si="12"/>
        <v>2654</v>
      </c>
      <c r="G27" s="446" t="e">
        <f t="shared" si="12"/>
        <v>#REF!</v>
      </c>
      <c r="H27" s="130">
        <f>SUM(H22:H26)</f>
        <v>1824</v>
      </c>
      <c r="I27" s="131">
        <f t="shared" si="1"/>
        <v>0.6872645064054258</v>
      </c>
      <c r="J27" s="131">
        <v>0.71</v>
      </c>
      <c r="K27" s="132">
        <f>SUM(K22:K26)</f>
        <v>1767</v>
      </c>
      <c r="L27" s="131">
        <f t="shared" si="2"/>
        <v>0.96875</v>
      </c>
      <c r="M27" s="131">
        <v>0.9</v>
      </c>
      <c r="N27" s="133">
        <f>SUM(N22:N26)</f>
        <v>1792</v>
      </c>
      <c r="O27" s="294">
        <f t="shared" si="0"/>
        <v>0.98245614035087714</v>
      </c>
      <c r="P27" s="134">
        <v>0.8</v>
      </c>
    </row>
    <row r="28" spans="2:16">
      <c r="B28" s="77" t="s">
        <v>155</v>
      </c>
      <c r="C28" s="78" t="s">
        <v>75</v>
      </c>
      <c r="D28" s="449">
        <f>SUMIFS(Table2[All currently registered regular patients aged 18+],Table2[OrgID],C28,Table2[Rel_D],Details!$D$61)</f>
        <v>7813</v>
      </c>
      <c r="E28" s="431" t="e">
        <f>SUMIFS(#REF!,#REF!,B28,#REF!,Details!$D$61)</f>
        <v>#REF!</v>
      </c>
      <c r="F28" s="431">
        <f>SUMIFS(Table2[C. Patients on the asthma register],Table2[OrgID],$C28,Table2[Rel_D],$B$10)</f>
        <v>325</v>
      </c>
      <c r="G28" s="432" t="e">
        <f>SUMIFS(#REF!,#REF!,$D28,#REF!,$D$61)</f>
        <v>#REF!</v>
      </c>
      <c r="H28" s="12">
        <f>SUMIFS(Table2[8 Asthma review coded or proxy (inhaler technique) 12m],Table2[OrgID],$C28,Table2[Rel_D],$B$10)</f>
        <v>273</v>
      </c>
      <c r="I28" s="97">
        <f t="shared" si="1"/>
        <v>0.84</v>
      </c>
      <c r="J28" s="259">
        <v>0.71</v>
      </c>
      <c r="K28" s="98">
        <f>SUMIFS(Table2[10 Asthma Action Plan recorded 12m],Table2[OrgID],$C28,Table2[Rel_D],$B$10)</f>
        <v>264</v>
      </c>
      <c r="L28" s="97">
        <f t="shared" si="2"/>
        <v>0.96703296703296704</v>
      </c>
      <c r="M28" s="259">
        <v>0.9</v>
      </c>
      <c r="N28" s="80">
        <f>SUMIFS(Table2[11 ACT recorded],Table2[OrgID],$C28,Table2[Rel_D],$B$10)</f>
        <v>264</v>
      </c>
      <c r="O28" s="292">
        <f t="shared" si="0"/>
        <v>0.96703296703296704</v>
      </c>
      <c r="P28" s="299">
        <v>0.8</v>
      </c>
    </row>
    <row r="29" spans="2:16">
      <c r="B29" s="73" t="s">
        <v>156</v>
      </c>
      <c r="C29" s="74" t="s">
        <v>76</v>
      </c>
      <c r="D29" s="450">
        <f>SUMIFS(Table2[All currently registered regular patients aged 18+],Table2[OrgID],C29,Table2[Rel_D],Details!$D$61)</f>
        <v>8209</v>
      </c>
      <c r="E29" s="433" t="e">
        <f>SUMIFS(#REF!,#REF!,B29,#REF!,Details!$D$61)</f>
        <v>#REF!</v>
      </c>
      <c r="F29" s="433">
        <f>SUMIFS(Table2[C. Patients on the asthma register],Table2[OrgID],$C29,Table2[Rel_D],$B$10)</f>
        <v>457</v>
      </c>
      <c r="G29" s="434" t="e">
        <f>SUMIFS(#REF!,#REF!,$D29,#REF!,$D$61)</f>
        <v>#REF!</v>
      </c>
      <c r="H29" s="2">
        <f>SUMIFS(Table2[8 Asthma review coded or proxy (inhaler technique) 12m],Table2[OrgID],$C29,Table2[Rel_D],$B$10)</f>
        <v>392</v>
      </c>
      <c r="I29" s="93">
        <f t="shared" si="1"/>
        <v>0.85776805251641142</v>
      </c>
      <c r="J29" s="260">
        <v>0.71</v>
      </c>
      <c r="K29" s="94">
        <f>SUMIFS(Table2[10 Asthma Action Plan recorded 12m],Table2[OrgID],$C29,Table2[Rel_D],$B$10)</f>
        <v>385</v>
      </c>
      <c r="L29" s="93">
        <f t="shared" si="2"/>
        <v>0.9821428571428571</v>
      </c>
      <c r="M29" s="260">
        <v>0.9</v>
      </c>
      <c r="N29" s="69">
        <f>SUMIFS(Table2[11 ACT recorded],Table2[OrgID],$C29,Table2[Rel_D],$B$10)</f>
        <v>376</v>
      </c>
      <c r="O29" s="293">
        <f t="shared" si="0"/>
        <v>0.95918367346938771</v>
      </c>
      <c r="P29" s="300">
        <v>0.8</v>
      </c>
    </row>
    <row r="30" spans="2:16" ht="15.75" thickBot="1">
      <c r="B30" s="75" t="s">
        <v>157</v>
      </c>
      <c r="C30" s="76" t="s">
        <v>59</v>
      </c>
      <c r="D30" s="455">
        <f>IF(COUNTIFS(Table2[OrgID],C30,Table2[Rel_D],Details!$D$61) =0,"-",SUMIFS(Table2[All currently registered regular patients aged 18+],Table2[OrgID],C30,Table2[Rel_D],Details!$D$61))</f>
        <v>11775</v>
      </c>
      <c r="E30" s="435" t="e">
        <f>SUMIFS(#REF!,#REF!,B30,#REF!,Details!$D$61)</f>
        <v>#REF!</v>
      </c>
      <c r="F30" s="433">
        <f>SUMIFS(Table2[C. Patients on the asthma register],Table2[OrgID],$C30,Table2[Rel_D],$B$10)</f>
        <v>576</v>
      </c>
      <c r="G30" s="434" t="e">
        <f>SUMIFS(#REF!,#REF!,$D30,#REF!,$D$61)</f>
        <v>#REF!</v>
      </c>
      <c r="H30" s="2">
        <f>SUMIFS(Table2[8 Asthma review coded or proxy (inhaler technique) 12m],Table2[OrgID],$C30,Table2[Rel_D],$B$10)</f>
        <v>442</v>
      </c>
      <c r="I30" s="93">
        <f t="shared" ref="I30" si="13">IFERROR(H30/F30, "-")</f>
        <v>0.76736111111111116</v>
      </c>
      <c r="J30" s="260">
        <v>0.71</v>
      </c>
      <c r="K30" s="94">
        <f>SUMIFS(Table2[10 Asthma Action Plan recorded 12m],Table2[OrgID],$C30,Table2[Rel_D],$B$10)</f>
        <v>436</v>
      </c>
      <c r="L30" s="93">
        <f t="shared" ref="L30" si="14">IFERROR(K30/H30,"-")</f>
        <v>0.98642533936651589</v>
      </c>
      <c r="M30" s="260">
        <v>0.9</v>
      </c>
      <c r="N30" s="69">
        <f>SUMIFS(Table2[11 ACT recorded],Table2[OrgID],$C30,Table2[Rel_D],$B$10)</f>
        <v>435</v>
      </c>
      <c r="O30" s="293">
        <f t="shared" ref="O30" si="15">IFERROR(N30/H30, "-")</f>
        <v>0.98416289592760176</v>
      </c>
      <c r="P30" s="301">
        <v>0.8</v>
      </c>
    </row>
    <row r="31" spans="2:16" ht="15.75" thickBot="1">
      <c r="B31" s="17" t="s">
        <v>158</v>
      </c>
      <c r="C31" s="18" t="s">
        <v>77</v>
      </c>
      <c r="D31" s="447">
        <f>SUM(D28:D30)</f>
        <v>27797</v>
      </c>
      <c r="E31" s="448" t="e">
        <f t="shared" ref="E31:G31" si="16">SUM(E28:E30)</f>
        <v>#REF!</v>
      </c>
      <c r="F31" s="445">
        <f t="shared" si="16"/>
        <v>1358</v>
      </c>
      <c r="G31" s="446" t="e">
        <f t="shared" si="16"/>
        <v>#REF!</v>
      </c>
      <c r="H31" s="130">
        <f>SUM(H28:H30)</f>
        <v>1107</v>
      </c>
      <c r="I31" s="131">
        <f t="shared" si="1"/>
        <v>0.81516936671575846</v>
      </c>
      <c r="J31" s="131">
        <v>0.71</v>
      </c>
      <c r="K31" s="132">
        <f>SUM(K28:K30)</f>
        <v>1085</v>
      </c>
      <c r="L31" s="131">
        <f t="shared" si="2"/>
        <v>0.98012646793134595</v>
      </c>
      <c r="M31" s="131">
        <v>0.9</v>
      </c>
      <c r="N31" s="133">
        <f>SUM(N28:N30)</f>
        <v>1075</v>
      </c>
      <c r="O31" s="294">
        <f t="shared" si="0"/>
        <v>0.97109304426377596</v>
      </c>
      <c r="P31" s="134">
        <v>0.8</v>
      </c>
    </row>
    <row r="32" spans="2:16">
      <c r="B32" s="77" t="s">
        <v>159</v>
      </c>
      <c r="C32" s="78" t="s">
        <v>78</v>
      </c>
      <c r="D32" s="449">
        <f>SUMIFS(Table2[All currently registered regular patients aged 18+],Table2[OrgID],C32,Table2[Rel_D],Details!$D$61)</f>
        <v>11555</v>
      </c>
      <c r="E32" s="431" t="e">
        <f>SUMIFS(#REF!,#REF!,B32,#REF!,Details!$D$61)</f>
        <v>#REF!</v>
      </c>
      <c r="F32" s="431">
        <f>SUMIFS(Table2[C. Patients on the asthma register],Table2[OrgID],$C32,Table2[Rel_D],$B$10)</f>
        <v>614</v>
      </c>
      <c r="G32" s="432" t="e">
        <f>SUMIFS(#REF!,#REF!,$D32,#REF!,$D$61)</f>
        <v>#REF!</v>
      </c>
      <c r="H32" s="12">
        <f>SUMIFS(Table2[8 Asthma review coded or proxy (inhaler technique) 12m],Table2[OrgID],$C32,Table2[Rel_D],$B$10)</f>
        <v>413</v>
      </c>
      <c r="I32" s="97">
        <f t="shared" si="1"/>
        <v>0.67263843648208466</v>
      </c>
      <c r="J32" s="259">
        <v>0.71</v>
      </c>
      <c r="K32" s="98">
        <f>SUMIFS(Table2[10 Asthma Action Plan recorded 12m],Table2[OrgID],$C32,Table2[Rel_D],$B$10)</f>
        <v>410</v>
      </c>
      <c r="L32" s="97">
        <f t="shared" si="2"/>
        <v>0.99273607748184023</v>
      </c>
      <c r="M32" s="259">
        <v>0.9</v>
      </c>
      <c r="N32" s="80">
        <f>SUMIFS(Table2[11 ACT recorded],Table2[OrgID],$C32,Table2[Rel_D],$B$10)</f>
        <v>407</v>
      </c>
      <c r="O32" s="292">
        <f t="shared" si="0"/>
        <v>0.98547215496368035</v>
      </c>
      <c r="P32" s="299">
        <v>0.8</v>
      </c>
    </row>
    <row r="33" spans="2:16">
      <c r="B33" s="73" t="s">
        <v>225</v>
      </c>
      <c r="C33" s="76" t="s">
        <v>79</v>
      </c>
      <c r="D33" s="450">
        <f>SUMIFS(Table2[All currently registered regular patients aged 18+],Table2[OrgID],C33,Table2[Rel_D],Details!$D$61)</f>
        <v>8734</v>
      </c>
      <c r="E33" s="433" t="e">
        <f>SUMIFS(#REF!,#REF!,B33,#REF!,Details!$D$61)</f>
        <v>#REF!</v>
      </c>
      <c r="F33" s="433">
        <f>SUMIFS(Table2[C. Patients on the asthma register],Table2[OrgID],$C33,Table2[Rel_D],$B$10)</f>
        <v>330</v>
      </c>
      <c r="G33" s="434" t="e">
        <f>SUMIFS(#REF!,#REF!,$D33,#REF!,$D$61)</f>
        <v>#REF!</v>
      </c>
      <c r="H33" s="2">
        <f>SUMIFS(Table2[8 Asthma review coded or proxy (inhaler technique) 12m],Table2[OrgID],$C33,Table2[Rel_D],$B$10)</f>
        <v>281</v>
      </c>
      <c r="I33" s="95">
        <f t="shared" si="1"/>
        <v>0.85151515151515156</v>
      </c>
      <c r="J33" s="261">
        <v>0.71</v>
      </c>
      <c r="K33" s="96">
        <f>SUMIFS(Table2[10 Asthma Action Plan recorded 12m],Table2[OrgID],$C33,Table2[Rel_D],$B$10)</f>
        <v>278</v>
      </c>
      <c r="L33" s="95">
        <f t="shared" si="2"/>
        <v>0.98932384341637014</v>
      </c>
      <c r="M33" s="261">
        <v>0.9</v>
      </c>
      <c r="N33" s="69">
        <f>SUMIFS(Table2[11 ACT recorded],Table2[OrgID],$C33,Table2[Rel_D],$B$10)</f>
        <v>280</v>
      </c>
      <c r="O33" s="295">
        <f t="shared" si="0"/>
        <v>0.99644128113879005</v>
      </c>
      <c r="P33" s="301">
        <v>0.8</v>
      </c>
    </row>
    <row r="34" spans="2:16">
      <c r="B34" s="73" t="s">
        <v>161</v>
      </c>
      <c r="C34" s="74" t="s">
        <v>80</v>
      </c>
      <c r="D34" s="450">
        <f>SUMIFS(Table2[All currently registered regular patients aged 18+],Table2[OrgID],C34,Table2[Rel_D],Details!$D$61)</f>
        <v>5550</v>
      </c>
      <c r="E34" s="433" t="e">
        <f>SUMIFS(#REF!,#REF!,B34,#REF!,Details!$D$61)</f>
        <v>#REF!</v>
      </c>
      <c r="F34" s="433">
        <f>SUMIFS(Table2[C. Patients on the asthma register],Table2[OrgID],$C34,Table2[Rel_D],$B$10)</f>
        <v>240</v>
      </c>
      <c r="G34" s="434" t="e">
        <f>SUMIFS(#REF!,#REF!,$D34,#REF!,$D$61)</f>
        <v>#REF!</v>
      </c>
      <c r="H34" s="2">
        <f>SUMIFS(Table2[8 Asthma review coded or proxy (inhaler technique) 12m],Table2[OrgID],$C34,Table2[Rel_D],$B$10)</f>
        <v>177</v>
      </c>
      <c r="I34" s="93">
        <f t="shared" si="1"/>
        <v>0.73750000000000004</v>
      </c>
      <c r="J34" s="260">
        <v>0.71</v>
      </c>
      <c r="K34" s="94">
        <f>SUMIFS(Table2[10 Asthma Action Plan recorded 12m],Table2[OrgID],$C34,Table2[Rel_D],$B$10)</f>
        <v>174</v>
      </c>
      <c r="L34" s="93">
        <f t="shared" si="2"/>
        <v>0.98305084745762716</v>
      </c>
      <c r="M34" s="260">
        <v>0.9</v>
      </c>
      <c r="N34" s="69">
        <f>SUMIFS(Table2[11 ACT recorded],Table2[OrgID],$C34,Table2[Rel_D],$B$10)</f>
        <v>174</v>
      </c>
      <c r="O34" s="293">
        <f t="shared" si="0"/>
        <v>0.98305084745762716</v>
      </c>
      <c r="P34" s="300">
        <v>0.8</v>
      </c>
    </row>
    <row r="35" spans="2:16">
      <c r="B35" s="73" t="s">
        <v>162</v>
      </c>
      <c r="C35" s="74" t="s">
        <v>81</v>
      </c>
      <c r="D35" s="450">
        <f>SUMIFS(Table2[All currently registered regular patients aged 18+],Table2[OrgID],C35,Table2[Rel_D],Details!$D$61)</f>
        <v>2808</v>
      </c>
      <c r="E35" s="433" t="e">
        <f>SUMIFS(#REF!,#REF!,B35,#REF!,Details!$D$61)</f>
        <v>#REF!</v>
      </c>
      <c r="F35" s="433">
        <f>SUMIFS(Table2[C. Patients on the asthma register],Table2[OrgID],$C35,Table2[Rel_D],$B$10)</f>
        <v>96</v>
      </c>
      <c r="G35" s="434" t="e">
        <f>SUMIFS(#REF!,#REF!,$D35,#REF!,$D$61)</f>
        <v>#REF!</v>
      </c>
      <c r="H35" s="2">
        <f>SUMIFS(Table2[8 Asthma review coded or proxy (inhaler technique) 12m],Table2[OrgID],$C35,Table2[Rel_D],$B$10)</f>
        <v>72</v>
      </c>
      <c r="I35" s="93">
        <f t="shared" si="1"/>
        <v>0.75</v>
      </c>
      <c r="J35" s="260">
        <v>0.71</v>
      </c>
      <c r="K35" s="94">
        <f>SUMIFS(Table2[10 Asthma Action Plan recorded 12m],Table2[OrgID],$C35,Table2[Rel_D],$B$10)</f>
        <v>71</v>
      </c>
      <c r="L35" s="93">
        <f t="shared" si="2"/>
        <v>0.98611111111111116</v>
      </c>
      <c r="M35" s="260">
        <v>0.9</v>
      </c>
      <c r="N35" s="69">
        <f>SUMIFS(Table2[11 ACT recorded],Table2[OrgID],$C35,Table2[Rel_D],$B$10)</f>
        <v>71</v>
      </c>
      <c r="O35" s="293">
        <f t="shared" si="0"/>
        <v>0.98611111111111116</v>
      </c>
      <c r="P35" s="300">
        <v>0.8</v>
      </c>
    </row>
    <row r="36" spans="2:16">
      <c r="B36" s="73" t="s">
        <v>163</v>
      </c>
      <c r="C36" s="74" t="s">
        <v>82</v>
      </c>
      <c r="D36" s="450">
        <f>SUMIFS(Table2[All currently registered regular patients aged 18+],Table2[OrgID],C36,Table2[Rel_D],Details!$D$61)</f>
        <v>6361</v>
      </c>
      <c r="E36" s="433" t="e">
        <f>SUMIFS(#REF!,#REF!,B36,#REF!,Details!$D$61)</f>
        <v>#REF!</v>
      </c>
      <c r="F36" s="433">
        <f>SUMIFS(Table2[C. Patients on the asthma register],Table2[OrgID],$C36,Table2[Rel_D],$B$10)</f>
        <v>324</v>
      </c>
      <c r="G36" s="434" t="e">
        <f>SUMIFS(#REF!,#REF!,$D36,#REF!,$D$61)</f>
        <v>#REF!</v>
      </c>
      <c r="H36" s="2">
        <f>SUMIFS(Table2[8 Asthma review coded or proxy (inhaler technique) 12m],Table2[OrgID],$C36,Table2[Rel_D],$B$10)</f>
        <v>235</v>
      </c>
      <c r="I36" s="93">
        <f t="shared" si="1"/>
        <v>0.72530864197530864</v>
      </c>
      <c r="J36" s="260">
        <v>0.71</v>
      </c>
      <c r="K36" s="94">
        <f>SUMIFS(Table2[10 Asthma Action Plan recorded 12m],Table2[OrgID],$C36,Table2[Rel_D],$B$10)</f>
        <v>235</v>
      </c>
      <c r="L36" s="93">
        <f t="shared" si="2"/>
        <v>1</v>
      </c>
      <c r="M36" s="260">
        <v>0.9</v>
      </c>
      <c r="N36" s="69">
        <f>SUMIFS(Table2[11 ACT recorded],Table2[OrgID],$C36,Table2[Rel_D],$B$10)</f>
        <v>235</v>
      </c>
      <c r="O36" s="293">
        <f t="shared" si="0"/>
        <v>1</v>
      </c>
      <c r="P36" s="300">
        <v>0.8</v>
      </c>
    </row>
    <row r="37" spans="2:16">
      <c r="B37" s="73" t="s">
        <v>164</v>
      </c>
      <c r="C37" s="74" t="s">
        <v>83</v>
      </c>
      <c r="D37" s="450">
        <f>SUMIFS(Table2[All currently registered regular patients aged 18+],Table2[OrgID],C37,Table2[Rel_D],Details!$D$61)</f>
        <v>4175</v>
      </c>
      <c r="E37" s="433" t="e">
        <f>SUMIFS(#REF!,#REF!,B37,#REF!,Details!$D$61)</f>
        <v>#REF!</v>
      </c>
      <c r="F37" s="433">
        <f>SUMIFS(Table2[C. Patients on the asthma register],Table2[OrgID],$C37,Table2[Rel_D],$B$10)</f>
        <v>230</v>
      </c>
      <c r="G37" s="434" t="e">
        <f>SUMIFS(#REF!,#REF!,$D37,#REF!,$D$61)</f>
        <v>#REF!</v>
      </c>
      <c r="H37" s="2">
        <f>SUMIFS(Table2[8 Asthma review coded or proxy (inhaler technique) 12m],Table2[OrgID],$C37,Table2[Rel_D],$B$10)</f>
        <v>202</v>
      </c>
      <c r="I37" s="93">
        <f t="shared" si="1"/>
        <v>0.87826086956521743</v>
      </c>
      <c r="J37" s="260">
        <v>0.71</v>
      </c>
      <c r="K37" s="94">
        <f>SUMIFS(Table2[10 Asthma Action Plan recorded 12m],Table2[OrgID],$C37,Table2[Rel_D],$B$10)</f>
        <v>197</v>
      </c>
      <c r="L37" s="93">
        <f t="shared" si="2"/>
        <v>0.97524752475247523</v>
      </c>
      <c r="M37" s="260">
        <v>0.9</v>
      </c>
      <c r="N37" s="69">
        <f>SUMIFS(Table2[11 ACT recorded],Table2[OrgID],$C37,Table2[Rel_D],$B$10)</f>
        <v>197</v>
      </c>
      <c r="O37" s="293">
        <f t="shared" si="0"/>
        <v>0.97524752475247523</v>
      </c>
      <c r="P37" s="300">
        <v>0.8</v>
      </c>
    </row>
    <row r="38" spans="2:16" ht="15.75" thickBot="1">
      <c r="B38" s="75" t="s">
        <v>165</v>
      </c>
      <c r="C38" s="76" t="s">
        <v>63</v>
      </c>
      <c r="D38" s="455">
        <f>IF(COUNTIFS(Table2[OrgID],C38,Table2[Rel_D],Details!$D$61) =0,"-",SUMIFS(Table2[All currently registered regular patients aged 18+],Table2[OrgID],C38,Table2[Rel_D],Details!$D$61))</f>
        <v>7767</v>
      </c>
      <c r="E38" s="435" t="e">
        <f>SUMIFS(#REF!,#REF!,B38,#REF!,Details!$D$61)</f>
        <v>#REF!</v>
      </c>
      <c r="F38" s="433">
        <f>SUMIFS(Table2[C. Patients on the asthma register],Table2[OrgID],$C38,Table2[Rel_D],$B$10)</f>
        <v>402</v>
      </c>
      <c r="G38" s="434" t="e">
        <f>SUMIFS(#REF!,#REF!,$D38,#REF!,$D$61)</f>
        <v>#REF!</v>
      </c>
      <c r="H38" s="2">
        <f>SUMIFS(Table2[8 Asthma review coded or proxy (inhaler technique) 12m],Table2[OrgID],$C38,Table2[Rel_D],$B$10)</f>
        <v>251</v>
      </c>
      <c r="I38" s="93">
        <f t="shared" ref="I38" si="17">IFERROR(H38/F38, "-")</f>
        <v>0.62437810945273631</v>
      </c>
      <c r="J38" s="260">
        <v>0.71</v>
      </c>
      <c r="K38" s="94">
        <f>SUMIFS(Table2[10 Asthma Action Plan recorded 12m],Table2[OrgID],$C38,Table2[Rel_D],$B$10)</f>
        <v>247</v>
      </c>
      <c r="L38" s="93">
        <f t="shared" ref="L38" si="18">IFERROR(K38/H38,"-")</f>
        <v>0.98406374501992033</v>
      </c>
      <c r="M38" s="260">
        <v>0.9</v>
      </c>
      <c r="N38" s="69">
        <f>SUMIFS(Table2[11 ACT recorded],Table2[OrgID],$C38,Table2[Rel_D],$B$10)</f>
        <v>239</v>
      </c>
      <c r="O38" s="293">
        <f t="shared" ref="O38" si="19">IFERROR(N38/H38, "-")</f>
        <v>0.952191235059761</v>
      </c>
      <c r="P38" s="301">
        <v>0.8</v>
      </c>
    </row>
    <row r="39" spans="2:16" ht="15.75" thickBot="1">
      <c r="B39" s="17" t="s">
        <v>166</v>
      </c>
      <c r="C39" s="18" t="s">
        <v>84</v>
      </c>
      <c r="D39" s="447">
        <f t="shared" ref="D39:G39" si="20">SUM(D32:D38)</f>
        <v>46950</v>
      </c>
      <c r="E39" s="448" t="e">
        <f t="shared" si="20"/>
        <v>#REF!</v>
      </c>
      <c r="F39" s="445">
        <f t="shared" si="20"/>
        <v>2236</v>
      </c>
      <c r="G39" s="446" t="e">
        <f t="shared" si="20"/>
        <v>#REF!</v>
      </c>
      <c r="H39" s="130">
        <f>SUM(H32:H38)</f>
        <v>1631</v>
      </c>
      <c r="I39" s="131">
        <f t="shared" si="1"/>
        <v>0.72942754919499109</v>
      </c>
      <c r="J39" s="131">
        <v>0.71</v>
      </c>
      <c r="K39" s="132">
        <f>SUM(K32:K38)</f>
        <v>1612</v>
      </c>
      <c r="L39" s="131">
        <f t="shared" si="2"/>
        <v>0.98835070508890255</v>
      </c>
      <c r="M39" s="131">
        <v>0.9</v>
      </c>
      <c r="N39" s="133">
        <f>SUM(N32:N38)</f>
        <v>1603</v>
      </c>
      <c r="O39" s="294">
        <f t="shared" si="0"/>
        <v>0.98283261802575106</v>
      </c>
      <c r="P39" s="134">
        <v>0.8</v>
      </c>
    </row>
    <row r="40" spans="2:16">
      <c r="B40" s="77" t="s">
        <v>167</v>
      </c>
      <c r="C40" s="78" t="s">
        <v>85</v>
      </c>
      <c r="D40" s="449">
        <f>SUMIFS(Table2[All currently registered regular patients aged 18+],Table2[OrgID],C40,Table2[Rel_D],Details!$D$61)</f>
        <v>5335</v>
      </c>
      <c r="E40" s="431" t="e">
        <f>SUMIFS(#REF!,#REF!,B40,#REF!,Details!$D$61)</f>
        <v>#REF!</v>
      </c>
      <c r="F40" s="431">
        <f>SUMIFS(Table2[C. Patients on the asthma register],Table2[OrgID],$C40,Table2[Rel_D],$B$10)</f>
        <v>257</v>
      </c>
      <c r="G40" s="432" t="e">
        <f>SUMIFS(#REF!,#REF!,$D40,#REF!,$D$61)</f>
        <v>#REF!</v>
      </c>
      <c r="H40" s="12">
        <f>SUMIFS(Table2[8 Asthma review coded or proxy (inhaler technique) 12m],Table2[OrgID],$C40,Table2[Rel_D],$B$10)</f>
        <v>160</v>
      </c>
      <c r="I40" s="97">
        <f t="shared" si="1"/>
        <v>0.62256809338521402</v>
      </c>
      <c r="J40" s="259">
        <v>0.71</v>
      </c>
      <c r="K40" s="98">
        <f>SUMIFS(Table2[10 Asthma Action Plan recorded 12m],Table2[OrgID],$C40,Table2[Rel_D],$B$10)</f>
        <v>159</v>
      </c>
      <c r="L40" s="97">
        <f t="shared" si="2"/>
        <v>0.99375000000000002</v>
      </c>
      <c r="M40" s="259">
        <v>0.9</v>
      </c>
      <c r="N40" s="80">
        <f>SUMIFS(Table2[11 ACT recorded],Table2[OrgID],$C40,Table2[Rel_D],$B$10)</f>
        <v>158</v>
      </c>
      <c r="O40" s="292">
        <f t="shared" si="0"/>
        <v>0.98750000000000004</v>
      </c>
      <c r="P40" s="299">
        <v>0.8</v>
      </c>
    </row>
    <row r="41" spans="2:16">
      <c r="B41" s="73" t="s">
        <v>168</v>
      </c>
      <c r="C41" s="74" t="s">
        <v>86</v>
      </c>
      <c r="D41" s="450">
        <f>SUMIFS(Table2[All currently registered regular patients aged 18+],Table2[OrgID],C41,Table2[Rel_D],Details!$D$61)</f>
        <v>1693</v>
      </c>
      <c r="E41" s="433" t="e">
        <f>SUMIFS(#REF!,#REF!,B41,#REF!,Details!$D$61)</f>
        <v>#REF!</v>
      </c>
      <c r="F41" s="433">
        <f>SUMIFS(Table2[C. Patients on the asthma register],Table2[OrgID],$C41,Table2[Rel_D],$B$10)</f>
        <v>83</v>
      </c>
      <c r="G41" s="434" t="e">
        <f>SUMIFS(#REF!,#REF!,$D41,#REF!,$D$61)</f>
        <v>#REF!</v>
      </c>
      <c r="H41" s="2">
        <f>SUMIFS(Table2[8 Asthma review coded or proxy (inhaler technique) 12m],Table2[OrgID],$C41,Table2[Rel_D],$B$10)</f>
        <v>62</v>
      </c>
      <c r="I41" s="93">
        <f t="shared" si="1"/>
        <v>0.74698795180722888</v>
      </c>
      <c r="J41" s="260">
        <v>0.71</v>
      </c>
      <c r="K41" s="94">
        <f>SUMIFS(Table2[10 Asthma Action Plan recorded 12m],Table2[OrgID],$C41,Table2[Rel_D],$B$10)</f>
        <v>62</v>
      </c>
      <c r="L41" s="93">
        <f t="shared" si="2"/>
        <v>1</v>
      </c>
      <c r="M41" s="260">
        <v>0.9</v>
      </c>
      <c r="N41" s="69">
        <f>SUMIFS(Table2[11 ACT recorded],Table2[OrgID],$C41,Table2[Rel_D],$B$10)</f>
        <v>62</v>
      </c>
      <c r="O41" s="293">
        <f t="shared" si="0"/>
        <v>1</v>
      </c>
      <c r="P41" s="300">
        <v>0.8</v>
      </c>
    </row>
    <row r="42" spans="2:16">
      <c r="B42" s="73" t="s">
        <v>169</v>
      </c>
      <c r="C42" s="74" t="s">
        <v>87</v>
      </c>
      <c r="D42" s="450">
        <f>SUMIFS(Table2[All currently registered regular patients aged 18+],Table2[OrgID],C42,Table2[Rel_D],Details!$D$61)</f>
        <v>3066</v>
      </c>
      <c r="E42" s="433" t="e">
        <f>SUMIFS(#REF!,#REF!,B42,#REF!,Details!$D$61)</f>
        <v>#REF!</v>
      </c>
      <c r="F42" s="433">
        <f>SUMIFS(Table2[C. Patients on the asthma register],Table2[OrgID],$C42,Table2[Rel_D],$B$10)</f>
        <v>134</v>
      </c>
      <c r="G42" s="434" t="e">
        <f>SUMIFS(#REF!,#REF!,$D42,#REF!,$D$61)</f>
        <v>#REF!</v>
      </c>
      <c r="H42" s="2">
        <f>SUMIFS(Table2[8 Asthma review coded or proxy (inhaler technique) 12m],Table2[OrgID],$C42,Table2[Rel_D],$B$10)</f>
        <v>123</v>
      </c>
      <c r="I42" s="93">
        <f t="shared" si="1"/>
        <v>0.91791044776119401</v>
      </c>
      <c r="J42" s="260">
        <v>0.71</v>
      </c>
      <c r="K42" s="94">
        <f>SUMIFS(Table2[10 Asthma Action Plan recorded 12m],Table2[OrgID],$C42,Table2[Rel_D],$B$10)</f>
        <v>96</v>
      </c>
      <c r="L42" s="93">
        <f t="shared" si="2"/>
        <v>0.78048780487804881</v>
      </c>
      <c r="M42" s="260">
        <v>0.9</v>
      </c>
      <c r="N42" s="69">
        <f>SUMIFS(Table2[11 ACT recorded],Table2[OrgID],$C42,Table2[Rel_D],$B$10)</f>
        <v>99</v>
      </c>
      <c r="O42" s="293">
        <f t="shared" si="0"/>
        <v>0.80487804878048785</v>
      </c>
      <c r="P42" s="300">
        <v>0.8</v>
      </c>
    </row>
    <row r="43" spans="2:16">
      <c r="B43" s="73" t="s">
        <v>170</v>
      </c>
      <c r="C43" s="74" t="s">
        <v>88</v>
      </c>
      <c r="D43" s="450">
        <f>SUMIFS(Table2[All currently registered regular patients aged 18+],Table2[OrgID],C43,Table2[Rel_D],Details!$D$61)</f>
        <v>4678</v>
      </c>
      <c r="E43" s="433" t="e">
        <f>SUMIFS(#REF!,#REF!,B43,#REF!,Details!$D$61)</f>
        <v>#REF!</v>
      </c>
      <c r="F43" s="433">
        <f>SUMIFS(Table2[C. Patients on the asthma register],Table2[OrgID],$C43,Table2[Rel_D],$B$10)</f>
        <v>234</v>
      </c>
      <c r="G43" s="434" t="e">
        <f>SUMIFS(#REF!,#REF!,$D43,#REF!,$D$61)</f>
        <v>#REF!</v>
      </c>
      <c r="H43" s="2">
        <f>SUMIFS(Table2[8 Asthma review coded or proxy (inhaler technique) 12m],Table2[OrgID],$C43,Table2[Rel_D],$B$10)</f>
        <v>154</v>
      </c>
      <c r="I43" s="93">
        <f t="shared" si="1"/>
        <v>0.65811965811965811</v>
      </c>
      <c r="J43" s="260">
        <v>0.71</v>
      </c>
      <c r="K43" s="94">
        <f>SUMIFS(Table2[10 Asthma Action Plan recorded 12m],Table2[OrgID],$C43,Table2[Rel_D],$B$10)</f>
        <v>147</v>
      </c>
      <c r="L43" s="93">
        <f t="shared" si="2"/>
        <v>0.95454545454545459</v>
      </c>
      <c r="M43" s="260">
        <v>0.9</v>
      </c>
      <c r="N43" s="69">
        <f>SUMIFS(Table2[11 ACT recorded],Table2[OrgID],$C43,Table2[Rel_D],$B$10)</f>
        <v>152</v>
      </c>
      <c r="O43" s="293">
        <f t="shared" si="0"/>
        <v>0.98701298701298701</v>
      </c>
      <c r="P43" s="300">
        <v>0.8</v>
      </c>
    </row>
    <row r="44" spans="2:16">
      <c r="B44" s="73" t="s">
        <v>171</v>
      </c>
      <c r="C44" s="74" t="s">
        <v>89</v>
      </c>
      <c r="D44" s="450">
        <f>SUMIFS(Table2[All currently registered regular patients aged 18+],Table2[OrgID],C44,Table2[Rel_D],Details!$D$61)</f>
        <v>11904</v>
      </c>
      <c r="E44" s="433" t="e">
        <f>SUMIFS(#REF!,#REF!,B44,#REF!,Details!$D$61)</f>
        <v>#REF!</v>
      </c>
      <c r="F44" s="433">
        <f>SUMIFS(Table2[C. Patients on the asthma register],Table2[OrgID],$C44,Table2[Rel_D],$B$10)</f>
        <v>571</v>
      </c>
      <c r="G44" s="434" t="e">
        <f>SUMIFS(#REF!,#REF!,$D44,#REF!,$D$61)</f>
        <v>#REF!</v>
      </c>
      <c r="H44" s="2">
        <f>SUMIFS(Table2[8 Asthma review coded or proxy (inhaler technique) 12m],Table2[OrgID],$C44,Table2[Rel_D],$B$10)</f>
        <v>441</v>
      </c>
      <c r="I44" s="93">
        <f t="shared" si="1"/>
        <v>0.77232924693520144</v>
      </c>
      <c r="J44" s="260">
        <v>0.71</v>
      </c>
      <c r="K44" s="94">
        <f>SUMIFS(Table2[10 Asthma Action Plan recorded 12m],Table2[OrgID],$C44,Table2[Rel_D],$B$10)</f>
        <v>428</v>
      </c>
      <c r="L44" s="93">
        <f t="shared" si="2"/>
        <v>0.97052154195011342</v>
      </c>
      <c r="M44" s="260">
        <v>0.9</v>
      </c>
      <c r="N44" s="69">
        <f>SUMIFS(Table2[11 ACT recorded],Table2[OrgID],$C44,Table2[Rel_D],$B$10)</f>
        <v>433</v>
      </c>
      <c r="O44" s="293">
        <f t="shared" si="0"/>
        <v>0.98185941043083902</v>
      </c>
      <c r="P44" s="300">
        <v>0.8</v>
      </c>
    </row>
    <row r="45" spans="2:16" ht="15.75" thickBot="1">
      <c r="B45" s="75" t="s">
        <v>172</v>
      </c>
      <c r="C45" s="76" t="s">
        <v>90</v>
      </c>
      <c r="D45" s="455">
        <f>SUMIFS(Table2[All currently registered regular patients aged 18+],Table2[OrgID],C45,Table2[Rel_D],Details!$D$61)</f>
        <v>2900</v>
      </c>
      <c r="E45" s="435" t="e">
        <f>SUMIFS(#REF!,#REF!,B45,#REF!,Details!$D$61)</f>
        <v>#REF!</v>
      </c>
      <c r="F45" s="435">
        <f>SUMIFS(Table2[C. Patients on the asthma register],Table2[OrgID],$C45,Table2[Rel_D],$B$10)</f>
        <v>99</v>
      </c>
      <c r="G45" s="436" t="e">
        <f>SUMIFS(#REF!,#REF!,$D45,#REF!,$D$61)</f>
        <v>#REF!</v>
      </c>
      <c r="H45" s="3">
        <f>SUMIFS(Table2[8 Asthma review coded or proxy (inhaler technique) 12m],Table2[OrgID],$C45,Table2[Rel_D],$B$10)</f>
        <v>88</v>
      </c>
      <c r="I45" s="95">
        <f t="shared" si="1"/>
        <v>0.88888888888888884</v>
      </c>
      <c r="J45" s="261">
        <v>0.71</v>
      </c>
      <c r="K45" s="96">
        <f>SUMIFS(Table2[10 Asthma Action Plan recorded 12m],Table2[OrgID],$C45,Table2[Rel_D],$B$10)</f>
        <v>88</v>
      </c>
      <c r="L45" s="95">
        <f t="shared" si="2"/>
        <v>1</v>
      </c>
      <c r="M45" s="261">
        <v>0.9</v>
      </c>
      <c r="N45" s="70">
        <f>SUMIFS(Table2[11 ACT recorded],Table2[OrgID],$C45,Table2[Rel_D],$B$10)</f>
        <v>87</v>
      </c>
      <c r="O45" s="295">
        <f t="shared" si="0"/>
        <v>0.98863636363636365</v>
      </c>
      <c r="P45" s="301">
        <v>0.8</v>
      </c>
    </row>
    <row r="46" spans="2:16" ht="15.75" thickBot="1">
      <c r="B46" s="17" t="s">
        <v>173</v>
      </c>
      <c r="C46" s="18" t="s">
        <v>91</v>
      </c>
      <c r="D46" s="447">
        <f t="shared" ref="D46:G46" si="21">SUM(D40:D45)</f>
        <v>29576</v>
      </c>
      <c r="E46" s="448" t="e">
        <f t="shared" si="21"/>
        <v>#REF!</v>
      </c>
      <c r="F46" s="445">
        <f t="shared" si="21"/>
        <v>1378</v>
      </c>
      <c r="G46" s="446" t="e">
        <f t="shared" si="21"/>
        <v>#REF!</v>
      </c>
      <c r="H46" s="130">
        <f>SUM(H40:H45)</f>
        <v>1028</v>
      </c>
      <c r="I46" s="131">
        <f t="shared" si="1"/>
        <v>0.74600870827285926</v>
      </c>
      <c r="J46" s="131">
        <v>0.71</v>
      </c>
      <c r="K46" s="132">
        <f>SUM(K40:K45)</f>
        <v>980</v>
      </c>
      <c r="L46" s="131">
        <f t="shared" si="2"/>
        <v>0.953307392996109</v>
      </c>
      <c r="M46" s="131">
        <v>0.9</v>
      </c>
      <c r="N46" s="133">
        <f>SUM(N40:N45)</f>
        <v>991</v>
      </c>
      <c r="O46" s="294">
        <f t="shared" si="0"/>
        <v>0.96400778210116733</v>
      </c>
      <c r="P46" s="134">
        <v>0.8</v>
      </c>
    </row>
    <row r="47" spans="2:16">
      <c r="B47" s="77" t="s">
        <v>174</v>
      </c>
      <c r="C47" s="78" t="s">
        <v>92</v>
      </c>
      <c r="D47" s="449">
        <f>SUMIFS(Table2[All currently registered regular patients aged 18+],Table2[OrgID],C47,Table2[Rel_D],Details!$D$61)</f>
        <v>11854</v>
      </c>
      <c r="E47" s="431" t="e">
        <f>SUMIFS(#REF!,#REF!,B47,#REF!,Details!$D$61)</f>
        <v>#REF!</v>
      </c>
      <c r="F47" s="431">
        <f>SUMIFS(Table2[C. Patients on the asthma register],Table2[OrgID],$C47,Table2[Rel_D],$B$10)</f>
        <v>713</v>
      </c>
      <c r="G47" s="432" t="e">
        <f>SUMIFS(#REF!,#REF!,$D47,#REF!,$D$61)</f>
        <v>#REF!</v>
      </c>
      <c r="H47" s="12">
        <f>SUMIFS(Table2[8 Asthma review coded or proxy (inhaler technique) 12m],Table2[OrgID],$C47,Table2[Rel_D],$B$10)</f>
        <v>474</v>
      </c>
      <c r="I47" s="97">
        <f t="shared" si="1"/>
        <v>0.66479663394109401</v>
      </c>
      <c r="J47" s="259">
        <v>0.71</v>
      </c>
      <c r="K47" s="98">
        <f>SUMIFS(Table2[10 Asthma Action Plan recorded 12m],Table2[OrgID],$C47,Table2[Rel_D],$B$10)</f>
        <v>462</v>
      </c>
      <c r="L47" s="97">
        <f t="shared" si="2"/>
        <v>0.97468354430379744</v>
      </c>
      <c r="M47" s="259">
        <v>0.9</v>
      </c>
      <c r="N47" s="80">
        <f>SUMIFS(Table2[11 ACT recorded],Table2[OrgID],$C47,Table2[Rel_D],$B$10)</f>
        <v>473</v>
      </c>
      <c r="O47" s="292">
        <f t="shared" si="0"/>
        <v>0.99789029535864981</v>
      </c>
      <c r="P47" s="299">
        <v>0.8</v>
      </c>
    </row>
    <row r="48" spans="2:16">
      <c r="B48" s="73" t="s">
        <v>175</v>
      </c>
      <c r="C48" s="74" t="s">
        <v>93</v>
      </c>
      <c r="D48" s="450">
        <f>SUMIFS(Table2[All currently registered regular patients aged 18+],Table2[OrgID],C48,Table2[Rel_D],Details!$D$61)</f>
        <v>2159</v>
      </c>
      <c r="E48" s="433" t="e">
        <f>SUMIFS(#REF!,#REF!,B48,#REF!,Details!$D$61)</f>
        <v>#REF!</v>
      </c>
      <c r="F48" s="433">
        <f>SUMIFS(Table2[C. Patients on the asthma register],Table2[OrgID],$C48,Table2[Rel_D],$B$10)</f>
        <v>149</v>
      </c>
      <c r="G48" s="434" t="e">
        <f>SUMIFS(#REF!,#REF!,$D48,#REF!,$D$61)</f>
        <v>#REF!</v>
      </c>
      <c r="H48" s="2">
        <f>SUMIFS(Table2[8 Asthma review coded or proxy (inhaler technique) 12m],Table2[OrgID],$C48,Table2[Rel_D],$B$10)</f>
        <v>129</v>
      </c>
      <c r="I48" s="93">
        <f t="shared" si="1"/>
        <v>0.86577181208053688</v>
      </c>
      <c r="J48" s="260">
        <v>0.71</v>
      </c>
      <c r="K48" s="94">
        <f>SUMIFS(Table2[10 Asthma Action Plan recorded 12m],Table2[OrgID],$C48,Table2[Rel_D],$B$10)</f>
        <v>128</v>
      </c>
      <c r="L48" s="93">
        <f t="shared" si="2"/>
        <v>0.99224806201550386</v>
      </c>
      <c r="M48" s="260">
        <v>0.9</v>
      </c>
      <c r="N48" s="69">
        <f>SUMIFS(Table2[11 ACT recorded],Table2[OrgID],$C48,Table2[Rel_D],$B$10)</f>
        <v>127</v>
      </c>
      <c r="O48" s="293">
        <f t="shared" si="0"/>
        <v>0.98449612403100772</v>
      </c>
      <c r="P48" s="300">
        <v>0.8</v>
      </c>
    </row>
    <row r="49" spans="2:16">
      <c r="B49" s="73" t="s">
        <v>226</v>
      </c>
      <c r="C49" s="74" t="s">
        <v>94</v>
      </c>
      <c r="D49" s="450">
        <f>SUMIFS(Table2[All currently registered regular patients aged 18+],Table2[OrgID],C49,Table2[Rel_D],Details!$D$61)</f>
        <v>6202</v>
      </c>
      <c r="E49" s="433" t="e">
        <f>SUMIFS(#REF!,#REF!,B49,#REF!,Details!$D$61)</f>
        <v>#REF!</v>
      </c>
      <c r="F49" s="433">
        <f>SUMIFS(Table2[C. Patients on the asthma register],Table2[OrgID],$C49,Table2[Rel_D],$B$10)</f>
        <v>370</v>
      </c>
      <c r="G49" s="434" t="e">
        <f>SUMIFS(#REF!,#REF!,$D49,#REF!,$D$61)</f>
        <v>#REF!</v>
      </c>
      <c r="H49" s="2">
        <f>SUMIFS(Table2[8 Asthma review coded or proxy (inhaler technique) 12m],Table2[OrgID],$C49,Table2[Rel_D],$B$10)</f>
        <v>252</v>
      </c>
      <c r="I49" s="93">
        <f t="shared" si="1"/>
        <v>0.68108108108108112</v>
      </c>
      <c r="J49" s="260">
        <v>0.71</v>
      </c>
      <c r="K49" s="94">
        <f>SUMIFS(Table2[10 Asthma Action Plan recorded 12m],Table2[OrgID],$C49,Table2[Rel_D],$B$10)</f>
        <v>232</v>
      </c>
      <c r="L49" s="93">
        <f t="shared" si="2"/>
        <v>0.92063492063492058</v>
      </c>
      <c r="M49" s="260">
        <v>0.9</v>
      </c>
      <c r="N49" s="69">
        <f>SUMIFS(Table2[11 ACT recorded],Table2[OrgID],$C49,Table2[Rel_D],$B$10)</f>
        <v>237</v>
      </c>
      <c r="O49" s="293">
        <f t="shared" si="0"/>
        <v>0.94047619047619047</v>
      </c>
      <c r="P49" s="300">
        <v>0.8</v>
      </c>
    </row>
    <row r="50" spans="2:16">
      <c r="B50" s="73" t="s">
        <v>177</v>
      </c>
      <c r="C50" s="74" t="s">
        <v>95</v>
      </c>
      <c r="D50" s="450">
        <f>SUMIFS(Table2[All currently registered regular patients aged 18+],Table2[OrgID],C50,Table2[Rel_D],Details!$D$61)</f>
        <v>4578</v>
      </c>
      <c r="E50" s="433" t="e">
        <f>SUMIFS(#REF!,#REF!,B50,#REF!,Details!$D$61)</f>
        <v>#REF!</v>
      </c>
      <c r="F50" s="433">
        <f>SUMIFS(Table2[C. Patients on the asthma register],Table2[OrgID],$C50,Table2[Rel_D],$B$10)</f>
        <v>204</v>
      </c>
      <c r="G50" s="434" t="e">
        <f>SUMIFS(#REF!,#REF!,$D50,#REF!,$D$61)</f>
        <v>#REF!</v>
      </c>
      <c r="H50" s="2">
        <f>SUMIFS(Table2[8 Asthma review coded or proxy (inhaler technique) 12m],Table2[OrgID],$C50,Table2[Rel_D],$B$10)</f>
        <v>118</v>
      </c>
      <c r="I50" s="93">
        <f t="shared" si="1"/>
        <v>0.57843137254901966</v>
      </c>
      <c r="J50" s="260">
        <v>0.71</v>
      </c>
      <c r="K50" s="94">
        <f>SUMIFS(Table2[10 Asthma Action Plan recorded 12m],Table2[OrgID],$C50,Table2[Rel_D],$B$10)</f>
        <v>116</v>
      </c>
      <c r="L50" s="93">
        <f t="shared" si="2"/>
        <v>0.98305084745762716</v>
      </c>
      <c r="M50" s="260">
        <v>0.9</v>
      </c>
      <c r="N50" s="69">
        <f>SUMIFS(Table2[11 ACT recorded],Table2[OrgID],$C50,Table2[Rel_D],$B$10)</f>
        <v>116</v>
      </c>
      <c r="O50" s="293">
        <f t="shared" si="0"/>
        <v>0.98305084745762716</v>
      </c>
      <c r="P50" s="300">
        <v>0.8</v>
      </c>
    </row>
    <row r="51" spans="2:16" ht="15.75" thickBot="1">
      <c r="B51" s="75" t="s">
        <v>178</v>
      </c>
      <c r="C51" s="76" t="s">
        <v>96</v>
      </c>
      <c r="D51" s="455">
        <f>SUMIFS(Table2[All currently registered regular patients aged 18+],Table2[OrgID],C51,Table2[Rel_D],Details!$D$61)</f>
        <v>7066</v>
      </c>
      <c r="E51" s="435" t="e">
        <f>SUMIFS(#REF!,#REF!,B51,#REF!,Details!$D$61)</f>
        <v>#REF!</v>
      </c>
      <c r="F51" s="435">
        <f>SUMIFS(Table2[C. Patients on the asthma register],Table2[OrgID],$C51,Table2[Rel_D],$B$10)</f>
        <v>353</v>
      </c>
      <c r="G51" s="436" t="e">
        <f>SUMIFS(#REF!,#REF!,$D51,#REF!,$D$61)</f>
        <v>#REF!</v>
      </c>
      <c r="H51" s="3">
        <f>SUMIFS(Table2[8 Asthma review coded or proxy (inhaler technique) 12m],Table2[OrgID],$C51,Table2[Rel_D],$B$10)</f>
        <v>143</v>
      </c>
      <c r="I51" s="95">
        <f t="shared" si="1"/>
        <v>0.40509915014164305</v>
      </c>
      <c r="J51" s="261">
        <v>0.71</v>
      </c>
      <c r="K51" s="96">
        <f>SUMIFS(Table2[10 Asthma Action Plan recorded 12m],Table2[OrgID],$C51,Table2[Rel_D],$B$10)</f>
        <v>130</v>
      </c>
      <c r="L51" s="95">
        <f t="shared" si="2"/>
        <v>0.90909090909090906</v>
      </c>
      <c r="M51" s="261">
        <v>0.9</v>
      </c>
      <c r="N51" s="70">
        <f>SUMIFS(Table2[11 ACT recorded],Table2[OrgID],$C51,Table2[Rel_D],$B$10)</f>
        <v>130</v>
      </c>
      <c r="O51" s="295">
        <f t="shared" si="0"/>
        <v>0.90909090909090906</v>
      </c>
      <c r="P51" s="301">
        <v>0.8</v>
      </c>
    </row>
    <row r="52" spans="2:16" ht="15.75" thickBot="1">
      <c r="B52" s="17" t="s">
        <v>179</v>
      </c>
      <c r="C52" s="18" t="s">
        <v>97</v>
      </c>
      <c r="D52" s="447">
        <f t="shared" ref="D52:G52" si="22">SUM(D47:D51)</f>
        <v>31859</v>
      </c>
      <c r="E52" s="448" t="e">
        <f t="shared" si="22"/>
        <v>#REF!</v>
      </c>
      <c r="F52" s="445">
        <f t="shared" si="22"/>
        <v>1789</v>
      </c>
      <c r="G52" s="446" t="e">
        <f t="shared" si="22"/>
        <v>#REF!</v>
      </c>
      <c r="H52" s="130">
        <f>SUM(H47:H51)</f>
        <v>1116</v>
      </c>
      <c r="I52" s="131">
        <f t="shared" si="1"/>
        <v>0.62381218557853546</v>
      </c>
      <c r="J52" s="131">
        <v>0.71</v>
      </c>
      <c r="K52" s="132">
        <f>SUM(K47:K51)</f>
        <v>1068</v>
      </c>
      <c r="L52" s="131">
        <f t="shared" si="2"/>
        <v>0.956989247311828</v>
      </c>
      <c r="M52" s="131">
        <v>0.9</v>
      </c>
      <c r="N52" s="133">
        <f>SUM(N47:N51)</f>
        <v>1083</v>
      </c>
      <c r="O52" s="294">
        <f t="shared" si="0"/>
        <v>0.97043010752688175</v>
      </c>
      <c r="P52" s="134">
        <v>0.8</v>
      </c>
    </row>
    <row r="53" spans="2:16">
      <c r="B53" s="77" t="s">
        <v>180</v>
      </c>
      <c r="C53" s="79" t="s">
        <v>98</v>
      </c>
      <c r="D53" s="449">
        <f>SUMIFS(Table2[All currently registered regular patients aged 18+],Table2[OrgID],C53,Table2[Rel_D],Details!$D$61)</f>
        <v>5360</v>
      </c>
      <c r="E53" s="431" t="e">
        <f>SUMIFS(#REF!,#REF!,B53,#REF!,Details!$D$61)</f>
        <v>#REF!</v>
      </c>
      <c r="F53" s="431">
        <f>SUMIFS(Table2[C. Patients on the asthma register],Table2[OrgID],$C53,Table2[Rel_D],$B$10)</f>
        <v>244</v>
      </c>
      <c r="G53" s="432" t="e">
        <f>SUMIFS(#REF!,#REF!,$D53,#REF!,$D$61)</f>
        <v>#REF!</v>
      </c>
      <c r="H53" s="12">
        <f>SUMIFS(Table2[8 Asthma review coded or proxy (inhaler technique) 12m],Table2[OrgID],$C53,Table2[Rel_D],$B$10)</f>
        <v>122</v>
      </c>
      <c r="I53" s="135">
        <f t="shared" si="1"/>
        <v>0.5</v>
      </c>
      <c r="J53" s="262">
        <v>0.71</v>
      </c>
      <c r="K53" s="136">
        <f>SUMIFS(Table2[10 Asthma Action Plan recorded 12m],Table2[OrgID],$C53,Table2[Rel_D],$B$10)</f>
        <v>121</v>
      </c>
      <c r="L53" s="135">
        <f t="shared" si="2"/>
        <v>0.99180327868852458</v>
      </c>
      <c r="M53" s="262">
        <v>0.9</v>
      </c>
      <c r="N53" s="80">
        <f>SUMIFS(Table2[11 ACT recorded],Table2[OrgID],$C53,Table2[Rel_D],$B$10)</f>
        <v>120</v>
      </c>
      <c r="O53" s="296">
        <f t="shared" si="0"/>
        <v>0.98360655737704916</v>
      </c>
      <c r="P53" s="302">
        <v>0.8</v>
      </c>
    </row>
    <row r="54" spans="2:16">
      <c r="B54" s="73" t="s">
        <v>221</v>
      </c>
      <c r="C54" s="74" t="s">
        <v>99</v>
      </c>
      <c r="D54" s="450">
        <f>SUMIFS(Table2[All currently registered regular patients aged 18+],Table2[OrgID],C54,Table2[Rel_D],Details!$D$61)</f>
        <v>6306</v>
      </c>
      <c r="E54" s="433" t="e">
        <f>SUMIFS(#REF!,#REF!,B54,#REF!,Details!$D$61)</f>
        <v>#REF!</v>
      </c>
      <c r="F54" s="433">
        <f>SUMIFS(Table2[C. Patients on the asthma register],Table2[OrgID],$C54,Table2[Rel_D],$B$10)</f>
        <v>357</v>
      </c>
      <c r="G54" s="434" t="e">
        <f>SUMIFS(#REF!,#REF!,$D54,#REF!,$D$61)</f>
        <v>#REF!</v>
      </c>
      <c r="H54" s="2">
        <f>SUMIFS(Table2[8 Asthma review coded or proxy (inhaler technique) 12m],Table2[OrgID],$C54,Table2[Rel_D],$B$10)</f>
        <v>309</v>
      </c>
      <c r="I54" s="93">
        <f t="shared" si="1"/>
        <v>0.86554621848739499</v>
      </c>
      <c r="J54" s="260">
        <v>0.71</v>
      </c>
      <c r="K54" s="94">
        <f>SUMIFS(Table2[10 Asthma Action Plan recorded 12m],Table2[OrgID],$C54,Table2[Rel_D],$B$10)</f>
        <v>305</v>
      </c>
      <c r="L54" s="93">
        <f t="shared" si="2"/>
        <v>0.98705501618122982</v>
      </c>
      <c r="M54" s="260">
        <v>0.9</v>
      </c>
      <c r="N54" s="69">
        <f>SUMIFS(Table2[11 ACT recorded],Table2[OrgID],$C54,Table2[Rel_D],$B$10)</f>
        <v>302</v>
      </c>
      <c r="O54" s="293">
        <f t="shared" si="0"/>
        <v>0.97734627831715215</v>
      </c>
      <c r="P54" s="300">
        <v>0.8</v>
      </c>
    </row>
    <row r="55" spans="2:16">
      <c r="B55" s="73" t="s">
        <v>182</v>
      </c>
      <c r="C55" s="74" t="s">
        <v>100</v>
      </c>
      <c r="D55" s="450">
        <f>SUMIFS(Table2[All currently registered regular patients aged 18+],Table2[OrgID],C55,Table2[Rel_D],Details!$D$61)</f>
        <v>5695</v>
      </c>
      <c r="E55" s="433" t="e">
        <f>SUMIFS(#REF!,#REF!,B55,#REF!,Details!$D$61)</f>
        <v>#REF!</v>
      </c>
      <c r="F55" s="433">
        <f>SUMIFS(Table2[C. Patients on the asthma register],Table2[OrgID],$C55,Table2[Rel_D],$B$10)</f>
        <v>271</v>
      </c>
      <c r="G55" s="434" t="e">
        <f>SUMIFS(#REF!,#REF!,$D55,#REF!,$D$61)</f>
        <v>#REF!</v>
      </c>
      <c r="H55" s="2">
        <f>SUMIFS(Table2[8 Asthma review coded or proxy (inhaler technique) 12m],Table2[OrgID],$C55,Table2[Rel_D],$B$10)</f>
        <v>127</v>
      </c>
      <c r="I55" s="93">
        <f t="shared" si="1"/>
        <v>0.46863468634686345</v>
      </c>
      <c r="J55" s="260">
        <v>0.71</v>
      </c>
      <c r="K55" s="94">
        <f>SUMIFS(Table2[10 Asthma Action Plan recorded 12m],Table2[OrgID],$C55,Table2[Rel_D],$B$10)</f>
        <v>107</v>
      </c>
      <c r="L55" s="93">
        <f t="shared" si="2"/>
        <v>0.84251968503937003</v>
      </c>
      <c r="M55" s="260">
        <v>0.9</v>
      </c>
      <c r="N55" s="69">
        <f>SUMIFS(Table2[11 ACT recorded],Table2[OrgID],$C55,Table2[Rel_D],$B$10)</f>
        <v>112</v>
      </c>
      <c r="O55" s="293">
        <f t="shared" si="0"/>
        <v>0.88188976377952755</v>
      </c>
      <c r="P55" s="300">
        <v>0.8</v>
      </c>
    </row>
    <row r="56" spans="2:16">
      <c r="B56" s="73" t="s">
        <v>183</v>
      </c>
      <c r="C56" s="74" t="s">
        <v>101</v>
      </c>
      <c r="D56" s="450">
        <f>SUMIFS(Table2[All currently registered regular patients aged 18+],Table2[OrgID],C56,Table2[Rel_D],Details!$D$61)</f>
        <v>4725</v>
      </c>
      <c r="E56" s="433" t="e">
        <f>SUMIFS(#REF!,#REF!,B56,#REF!,Details!$D$61)</f>
        <v>#REF!</v>
      </c>
      <c r="F56" s="433">
        <f>SUMIFS(Table2[C. Patients on the asthma register],Table2[OrgID],$C56,Table2[Rel_D],$B$10)</f>
        <v>213</v>
      </c>
      <c r="G56" s="434" t="e">
        <f>SUMIFS(#REF!,#REF!,$D56,#REF!,$D$61)</f>
        <v>#REF!</v>
      </c>
      <c r="H56" s="2">
        <f>SUMIFS(Table2[8 Asthma review coded or proxy (inhaler technique) 12m],Table2[OrgID],$C56,Table2[Rel_D],$B$10)</f>
        <v>169</v>
      </c>
      <c r="I56" s="93">
        <f t="shared" si="1"/>
        <v>0.79342723004694837</v>
      </c>
      <c r="J56" s="260">
        <v>0.71</v>
      </c>
      <c r="K56" s="94">
        <f>SUMIFS(Table2[10 Asthma Action Plan recorded 12m],Table2[OrgID],$C56,Table2[Rel_D],$B$10)</f>
        <v>162</v>
      </c>
      <c r="L56" s="93">
        <f t="shared" si="2"/>
        <v>0.95857988165680474</v>
      </c>
      <c r="M56" s="260">
        <v>0.9</v>
      </c>
      <c r="N56" s="69">
        <f>SUMIFS(Table2[11 ACT recorded],Table2[OrgID],$C56,Table2[Rel_D],$B$10)</f>
        <v>160</v>
      </c>
      <c r="O56" s="293">
        <f t="shared" si="0"/>
        <v>0.94674556213017746</v>
      </c>
      <c r="P56" s="300">
        <v>0.8</v>
      </c>
    </row>
    <row r="57" spans="2:16" ht="15.75" thickBot="1">
      <c r="B57" s="75" t="s">
        <v>184</v>
      </c>
      <c r="C57" s="76" t="s">
        <v>102</v>
      </c>
      <c r="D57" s="455">
        <f>SUMIFS(Table2[All currently registered regular patients aged 18+],Table2[OrgID],C57,Table2[Rel_D],Details!$D$61)</f>
        <v>12833</v>
      </c>
      <c r="E57" s="435" t="e">
        <f>SUMIFS(#REF!,#REF!,B57,#REF!,Details!$D$61)</f>
        <v>#REF!</v>
      </c>
      <c r="F57" s="435">
        <f>SUMIFS(Table2[C. Patients on the asthma register],Table2[OrgID],$C57,Table2[Rel_D],$B$10)</f>
        <v>565</v>
      </c>
      <c r="G57" s="436" t="e">
        <f>SUMIFS(#REF!,#REF!,$D57,#REF!,$D$61)</f>
        <v>#REF!</v>
      </c>
      <c r="H57" s="3">
        <f>SUMIFS(Table2[8 Asthma review coded or proxy (inhaler technique) 12m],Table2[OrgID],$C57,Table2[Rel_D],$B$10)</f>
        <v>268</v>
      </c>
      <c r="I57" s="95">
        <f t="shared" si="1"/>
        <v>0.4743362831858407</v>
      </c>
      <c r="J57" s="261">
        <v>0.71</v>
      </c>
      <c r="K57" s="96">
        <f>SUMIFS(Table2[10 Asthma Action Plan recorded 12m],Table2[OrgID],$C57,Table2[Rel_D],$B$10)</f>
        <v>255</v>
      </c>
      <c r="L57" s="95">
        <f t="shared" si="2"/>
        <v>0.95149253731343286</v>
      </c>
      <c r="M57" s="261">
        <v>0.9</v>
      </c>
      <c r="N57" s="70">
        <f>SUMIFS(Table2[11 ACT recorded],Table2[OrgID],$C57,Table2[Rel_D],$B$10)</f>
        <v>257</v>
      </c>
      <c r="O57" s="295">
        <f t="shared" si="0"/>
        <v>0.95895522388059706</v>
      </c>
      <c r="P57" s="301">
        <v>0.8</v>
      </c>
    </row>
    <row r="58" spans="2:16" ht="15.75" thickBot="1">
      <c r="B58" s="17" t="s">
        <v>185</v>
      </c>
      <c r="C58" s="18" t="s">
        <v>103</v>
      </c>
      <c r="D58" s="447">
        <f t="shared" ref="D58:G58" si="23">SUM(D53:D57)</f>
        <v>34919</v>
      </c>
      <c r="E58" s="448" t="e">
        <f t="shared" si="23"/>
        <v>#REF!</v>
      </c>
      <c r="F58" s="451">
        <f t="shared" si="23"/>
        <v>1650</v>
      </c>
      <c r="G58" s="452" t="e">
        <f t="shared" si="23"/>
        <v>#REF!</v>
      </c>
      <c r="H58" s="160">
        <f>SUM(H53:H57)</f>
        <v>995</v>
      </c>
      <c r="I58" s="161">
        <f t="shared" si="1"/>
        <v>0.60303030303030303</v>
      </c>
      <c r="J58" s="161">
        <v>0.71</v>
      </c>
      <c r="K58" s="162">
        <f>SUM(K53:K57)</f>
        <v>950</v>
      </c>
      <c r="L58" s="161">
        <f t="shared" si="2"/>
        <v>0.95477386934673369</v>
      </c>
      <c r="M58" s="161">
        <v>0.9</v>
      </c>
      <c r="N58" s="160">
        <f>SUM(N53:N57)</f>
        <v>951</v>
      </c>
      <c r="O58" s="297">
        <f t="shared" si="0"/>
        <v>0.95577889447236186</v>
      </c>
      <c r="P58" s="303">
        <v>0.8</v>
      </c>
    </row>
    <row r="59" spans="2:16" ht="19.5" thickBot="1">
      <c r="B59" s="146" t="s">
        <v>186</v>
      </c>
      <c r="C59" s="147" t="s">
        <v>37</v>
      </c>
      <c r="D59" s="457">
        <f>SUM(D58,D52,D46,D39,D31,D27,D21)</f>
        <v>253124</v>
      </c>
      <c r="E59" s="458"/>
      <c r="F59" s="453">
        <f>SUM(F58,F52,F46,F39,F31,F27,F21)</f>
        <v>13275</v>
      </c>
      <c r="G59" s="454"/>
      <c r="H59" s="163">
        <f>SUM(H58,H52,H46,H39,H31,H27,H21)</f>
        <v>9193</v>
      </c>
      <c r="I59" s="164">
        <f t="shared" si="1"/>
        <v>0.69250470809792841</v>
      </c>
      <c r="J59" s="164">
        <v>0.71</v>
      </c>
      <c r="K59" s="165">
        <f>SUM(K58,K52,K46,K39,K31,K27,K21)</f>
        <v>8804</v>
      </c>
      <c r="L59" s="164">
        <f t="shared" si="2"/>
        <v>0.95768519525726092</v>
      </c>
      <c r="M59" s="164">
        <v>0.9</v>
      </c>
      <c r="N59" s="163">
        <f>SUM(N58,N52,N46,N39,N31,N27,N21)</f>
        <v>8825</v>
      </c>
      <c r="O59" s="298">
        <f t="shared" si="0"/>
        <v>0.95996954204285867</v>
      </c>
      <c r="P59" s="304">
        <v>0.8</v>
      </c>
    </row>
  </sheetData>
  <mergeCells count="101">
    <mergeCell ref="F55:G55"/>
    <mergeCell ref="F56:G56"/>
    <mergeCell ref="F57:G57"/>
    <mergeCell ref="F58:G58"/>
    <mergeCell ref="F59:G59"/>
    <mergeCell ref="F49:G49"/>
    <mergeCell ref="F50:G50"/>
    <mergeCell ref="F51:G51"/>
    <mergeCell ref="F52:G52"/>
    <mergeCell ref="F53:G53"/>
    <mergeCell ref="F54:G54"/>
    <mergeCell ref="F43:G43"/>
    <mergeCell ref="F44:G44"/>
    <mergeCell ref="F45:G45"/>
    <mergeCell ref="F46:G46"/>
    <mergeCell ref="F47:G47"/>
    <mergeCell ref="F48:G48"/>
    <mergeCell ref="F37:G37"/>
    <mergeCell ref="F38:G38"/>
    <mergeCell ref="F39:G39"/>
    <mergeCell ref="F40:G40"/>
    <mergeCell ref="F41:G41"/>
    <mergeCell ref="F42:G42"/>
    <mergeCell ref="F31:G31"/>
    <mergeCell ref="F32:G32"/>
    <mergeCell ref="F33:G33"/>
    <mergeCell ref="F34:G34"/>
    <mergeCell ref="F35:G35"/>
    <mergeCell ref="F36:G36"/>
    <mergeCell ref="F25:G25"/>
    <mergeCell ref="F26:G26"/>
    <mergeCell ref="F27:G27"/>
    <mergeCell ref="F28:G28"/>
    <mergeCell ref="F29:G29"/>
    <mergeCell ref="F30:G30"/>
    <mergeCell ref="D55:E55"/>
    <mergeCell ref="D56:E56"/>
    <mergeCell ref="D57:E57"/>
    <mergeCell ref="D58:E58"/>
    <mergeCell ref="D59:E59"/>
    <mergeCell ref="F10:O10"/>
    <mergeCell ref="H11:O11"/>
    <mergeCell ref="F12:G12"/>
    <mergeCell ref="H12:I12"/>
    <mergeCell ref="K12:L12"/>
    <mergeCell ref="D49:E49"/>
    <mergeCell ref="D50:E50"/>
    <mergeCell ref="D51:E51"/>
    <mergeCell ref="D52:E52"/>
    <mergeCell ref="D53:E53"/>
    <mergeCell ref="D54:E54"/>
    <mergeCell ref="D43:E43"/>
    <mergeCell ref="D44:E44"/>
    <mergeCell ref="D45:E45"/>
    <mergeCell ref="D46:E46"/>
    <mergeCell ref="D47:E47"/>
    <mergeCell ref="D48:E48"/>
    <mergeCell ref="D37:E37"/>
    <mergeCell ref="D38:E38"/>
    <mergeCell ref="D39:E39"/>
    <mergeCell ref="D40:E40"/>
    <mergeCell ref="D41:E41"/>
    <mergeCell ref="D42:E42"/>
    <mergeCell ref="D31:E31"/>
    <mergeCell ref="D32:E32"/>
    <mergeCell ref="D33:E33"/>
    <mergeCell ref="D34:E34"/>
    <mergeCell ref="D35:E35"/>
    <mergeCell ref="D36:E36"/>
    <mergeCell ref="D26:E26"/>
    <mergeCell ref="D27:E27"/>
    <mergeCell ref="D28:E28"/>
    <mergeCell ref="D29:E29"/>
    <mergeCell ref="D30:E30"/>
    <mergeCell ref="D19:E19"/>
    <mergeCell ref="D20:E20"/>
    <mergeCell ref="D21:E21"/>
    <mergeCell ref="D22:E22"/>
    <mergeCell ref="D23:E23"/>
    <mergeCell ref="D24:E24"/>
    <mergeCell ref="D13:E13"/>
    <mergeCell ref="D14:E14"/>
    <mergeCell ref="D15:E15"/>
    <mergeCell ref="D16:E16"/>
    <mergeCell ref="D17:E17"/>
    <mergeCell ref="D18:E18"/>
    <mergeCell ref="D12:E12"/>
    <mergeCell ref="N12:O12"/>
    <mergeCell ref="D25:E25"/>
    <mergeCell ref="F19:G19"/>
    <mergeCell ref="F20:G20"/>
    <mergeCell ref="F21:G21"/>
    <mergeCell ref="F22:G22"/>
    <mergeCell ref="F23:G23"/>
    <mergeCell ref="F24:G24"/>
    <mergeCell ref="F13:G13"/>
    <mergeCell ref="F14:G14"/>
    <mergeCell ref="F15:G15"/>
    <mergeCell ref="F16:G16"/>
    <mergeCell ref="F17:G17"/>
    <mergeCell ref="F18:G18"/>
  </mergeCells>
  <pageMargins left="0.7" right="0.7" top="0.75" bottom="0.75" header="0.3" footer="0.3"/>
  <drawing r:id="rId1"/>
  <legacyDrawing r:id="rId2"/>
  <controls>
    <mc:AlternateContent xmlns:mc="http://schemas.openxmlformats.org/markup-compatibility/2006">
      <mc:Choice Requires="x14">
        <control shapeId="20481" r:id="rId3" name="ComboBox1">
          <controlPr defaultSize="0" autoLine="0" linkedCell="Control!E5" listFillRange="Control!B2:C14" r:id="rId4">
            <anchor moveWithCells="1">
              <from>
                <xdr:col>4</xdr:col>
                <xdr:colOff>657225</xdr:colOff>
                <xdr:row>0</xdr:row>
                <xdr:rowOff>76200</xdr:rowOff>
              </from>
              <to>
                <xdr:col>5</xdr:col>
                <xdr:colOff>819150</xdr:colOff>
                <xdr:row>1</xdr:row>
                <xdr:rowOff>161925</xdr:rowOff>
              </to>
            </anchor>
          </controlPr>
        </control>
      </mc:Choice>
      <mc:Fallback>
        <control shapeId="20481" r:id="rId3" name="ComboBox1"/>
      </mc:Fallback>
    </mc:AlternateContent>
  </controls>
  <extLst>
    <ext xmlns:x14="http://schemas.microsoft.com/office/spreadsheetml/2009/9/main" uri="{78C0D931-6437-407d-A8EE-F0AAD7539E65}">
      <x14:conditionalFormattings>
        <x14:conditionalFormatting xmlns:xm="http://schemas.microsoft.com/office/excel/2006/main">
          <x14:cfRule type="iconSet" priority="3" id="{C92B6E8A-0238-478F-8DD2-A5260A3B7E33}">
            <x14:iconSet custom="1">
              <x14:cfvo type="percent">
                <xm:f>0</xm:f>
              </x14:cfvo>
              <x14:cfvo type="num">
                <xm:f>0</xm:f>
              </x14:cfvo>
              <x14:cfvo type="num">
                <xm:f>0.71</xm:f>
              </x14:cfvo>
              <x14:cfIcon iconSet="NoIcons" iconId="0"/>
              <x14:cfIcon iconSet="3TrafficLights1" iconId="0"/>
              <x14:cfIcon iconSet="3TrafficLights1" iconId="2"/>
            </x14:iconSet>
          </x14:cfRule>
          <xm:sqref>I40:I45 I47:I51 I53:I57 I22:I26 I28:I30 I32:I38 I13:I20</xm:sqref>
        </x14:conditionalFormatting>
        <x14:conditionalFormatting xmlns:xm="http://schemas.microsoft.com/office/excel/2006/main">
          <x14:cfRule type="iconSet" priority="2" id="{D5C77AD2-AC19-4FE3-A3AD-5E0A6A8932D2}">
            <x14:iconSet custom="1">
              <x14:cfvo type="percent">
                <xm:f>0</xm:f>
              </x14:cfvo>
              <x14:cfvo type="num">
                <xm:f>0</xm:f>
              </x14:cfvo>
              <x14:cfvo type="num">
                <xm:f>0.9</xm:f>
              </x14:cfvo>
              <x14:cfIcon iconSet="NoIcons" iconId="0"/>
              <x14:cfIcon iconSet="3TrafficLights1" iconId="0"/>
              <x14:cfIcon iconSet="3TrafficLights1" iconId="2"/>
            </x14:iconSet>
          </x14:cfRule>
          <xm:sqref>L40:L45 L47:L51 L53:L57 L13:L20 L22:L26 L28:L30 L32:L38</xm:sqref>
        </x14:conditionalFormatting>
        <x14:conditionalFormatting xmlns:xm="http://schemas.microsoft.com/office/excel/2006/main">
          <x14:cfRule type="iconSet" priority="1" id="{FC87DCE0-F021-48C2-92C2-2EF15EEB2ABB}">
            <x14:iconSet custom="1">
              <x14:cfvo type="percent">
                <xm:f>0</xm:f>
              </x14:cfvo>
              <x14:cfvo type="num">
                <xm:f>0</xm:f>
              </x14:cfvo>
              <x14:cfvo type="num">
                <xm:f>0.8</xm:f>
              </x14:cfvo>
              <x14:cfIcon iconSet="NoIcons" iconId="0"/>
              <x14:cfIcon iconSet="3TrafficLights1" iconId="0"/>
              <x14:cfIcon iconSet="3TrafficLights1" iconId="2"/>
            </x14:iconSet>
          </x14:cfRule>
          <xm:sqref>O40:O45 O47:O51 O53:O57 O13:O20 O22:O26 O28:O30 O32:O38</xm:sqref>
        </x14:conditionalFormatting>
      </x14:conditionalFormattings>
    </ext>
    <ext xmlns:x14="http://schemas.microsoft.com/office/spreadsheetml/2009/9/main" uri="{A8765BA9-456A-4dab-B4F3-ACF838C121DE}">
      <x14:slicerList>
        <x14:slicer r:id="rId5"/>
      </x14:slicerList>
    </ext>
  </extLs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6E9903-ABF0-4443-AD2F-46D4CCC71E90}">
  <sheetPr codeName="Sheet5"/>
  <dimension ref="B2:S59"/>
  <sheetViews>
    <sheetView showGridLines="0" zoomScale="90" zoomScaleNormal="90" workbookViewId="0">
      <pane ySplit="2" topLeftCell="A3" activePane="bottomLeft" state="frozen"/>
      <selection pane="bottomLeft" activeCell="Q6" sqref="Q6"/>
    </sheetView>
  </sheetViews>
  <sheetFormatPr defaultRowHeight="15"/>
  <cols>
    <col min="1" max="1" width="1.5703125" customWidth="1"/>
    <col min="2" max="2" width="52.7109375" bestFit="1" customWidth="1"/>
    <col min="4" max="4" width="15.28515625" customWidth="1"/>
    <col min="5" max="5" width="16.140625" customWidth="1"/>
    <col min="6" max="6" width="26.7109375" customWidth="1"/>
    <col min="7" max="7" width="19.7109375" customWidth="1"/>
    <col min="8" max="8" width="15.5703125" customWidth="1"/>
    <col min="9" max="9" width="16.140625" customWidth="1"/>
    <col min="10" max="10" width="19.7109375" customWidth="1"/>
    <col min="11" max="11" width="17.85546875" customWidth="1"/>
    <col min="12" max="12" width="9.5703125" customWidth="1"/>
    <col min="13" max="13" width="14.85546875" customWidth="1"/>
  </cols>
  <sheetData>
    <row r="2" spans="2:19" ht="15.75">
      <c r="G2" s="285"/>
    </row>
    <row r="3" spans="2:19" ht="20.25" customHeight="1"/>
    <row r="4" spans="2:19" ht="38.25" customHeight="1"/>
    <row r="5" spans="2:19" ht="38.25" customHeight="1"/>
    <row r="6" spans="2:19" ht="38.25" customHeight="1"/>
    <row r="7" spans="2:19" ht="38.25" customHeight="1"/>
    <row r="8" spans="2:19" ht="38.25" customHeight="1"/>
    <row r="9" spans="2:19" ht="38.25" customHeight="1"/>
    <row r="10" spans="2:19" ht="16.5" thickBot="1">
      <c r="B10" s="392" t="str">
        <f>Control!F2</f>
        <v>01/04/2022</v>
      </c>
      <c r="F10" s="459" t="s">
        <v>108</v>
      </c>
      <c r="G10" s="460"/>
      <c r="H10" s="460"/>
      <c r="I10" s="460"/>
      <c r="J10" s="460"/>
      <c r="K10" s="460"/>
      <c r="L10" s="460"/>
      <c r="M10" s="214"/>
    </row>
    <row r="11" spans="2:19" ht="16.5" thickBot="1">
      <c r="F11" s="213"/>
      <c r="G11" s="213"/>
      <c r="H11" s="213"/>
      <c r="I11" s="213"/>
      <c r="J11" s="213"/>
      <c r="K11" s="213"/>
      <c r="L11" s="213"/>
      <c r="M11" s="360"/>
    </row>
    <row r="12" spans="2:19" ht="102.75" customHeight="1" thickBot="1">
      <c r="B12" s="13" t="s">
        <v>113</v>
      </c>
      <c r="C12" s="14" t="s">
        <v>114</v>
      </c>
      <c r="D12" s="495" t="s">
        <v>115</v>
      </c>
      <c r="E12" s="496"/>
      <c r="F12" s="216" t="s">
        <v>108</v>
      </c>
      <c r="G12" s="466" t="s">
        <v>133</v>
      </c>
      <c r="H12" s="466"/>
      <c r="I12" s="366" t="s">
        <v>233</v>
      </c>
      <c r="J12" s="203" t="s">
        <v>31</v>
      </c>
      <c r="K12" s="466" t="s">
        <v>17</v>
      </c>
      <c r="L12" s="467"/>
      <c r="M12" s="305" t="s">
        <v>234</v>
      </c>
    </row>
    <row r="13" spans="2:19" ht="15" customHeight="1">
      <c r="B13" s="71" t="s">
        <v>141</v>
      </c>
      <c r="C13" s="72" t="s">
        <v>52</v>
      </c>
      <c r="D13" s="449">
        <f>SUMIFS(Table2[All currently registered regular patients aged 18+],Table2[OrgID],C13,Table2[Rel_D],Details!$D$61)</f>
        <v>3093</v>
      </c>
      <c r="E13" s="497" t="e">
        <f>SUMIFS(#REF!,#REF!,B13,#REF!,Details!$D$61)</f>
        <v>#REF!</v>
      </c>
      <c r="F13" s="104">
        <f>SUMIFS(Table2[D. Patients on the hypertension register],Table2[OrgID],$C13,Table2[Rel_D],$B$10)</f>
        <v>738</v>
      </c>
      <c r="G13" s="81">
        <f>SUMIFS(Table2[15 On target],Table2[OrgID],$C13,Table2[Rel_D],$B$10)</f>
        <v>544</v>
      </c>
      <c r="H13" s="82">
        <f>IFERROR(G13/F13, "-")</f>
        <v>0.73712737127371275</v>
      </c>
      <c r="I13" s="333">
        <v>0.5</v>
      </c>
      <c r="J13" s="81">
        <f>SUMIFS(Table2[Off target],Table2[OrgID],$C13,Table2[Rel_D],$B$10)</f>
        <v>194</v>
      </c>
      <c r="K13" s="81">
        <f>SUMIFS(Table2[12 Off target, with clinical review (2)],Table2[OrgID],$C13,Table2[Rel_D],$B$10)</f>
        <v>55</v>
      </c>
      <c r="L13" s="82">
        <f>IFERROR(K13/J13,"-")</f>
        <v>0.28350515463917525</v>
      </c>
      <c r="M13" s="339">
        <v>0.25</v>
      </c>
      <c r="N13" s="5"/>
      <c r="O13" s="5"/>
      <c r="P13" s="5"/>
      <c r="Q13" s="5"/>
      <c r="R13" s="285"/>
    </row>
    <row r="14" spans="2:19" ht="15" customHeight="1">
      <c r="B14" s="73" t="s">
        <v>142</v>
      </c>
      <c r="C14" s="74" t="s">
        <v>54</v>
      </c>
      <c r="D14" s="450">
        <f>SUMIFS(Table2[All currently registered regular patients aged 18+],Table2[OrgID],C14,Table2[Rel_D],Details!$D$61)</f>
        <v>6563</v>
      </c>
      <c r="E14" s="456" t="e">
        <f>SUMIFS(#REF!,#REF!,B14,#REF!,Details!$D$61)</f>
        <v>#REF!</v>
      </c>
      <c r="F14" s="105">
        <f>SUMIFS(Table2[D. Patients on the hypertension register],Table2[OrgID],$C14,Table2[Rel_D],$B$10)</f>
        <v>876</v>
      </c>
      <c r="G14" s="83">
        <f>SUMIFS(Table2[15 On target],Table2[OrgID],$C14,Table2[Rel_D],$B$10)</f>
        <v>469</v>
      </c>
      <c r="H14" s="84">
        <f t="shared" ref="H14:H59" si="0">IFERROR(G14/F14, "-")</f>
        <v>0.53538812785388123</v>
      </c>
      <c r="I14" s="334">
        <v>0.5</v>
      </c>
      <c r="J14" s="83">
        <f>SUMIFS(Table2[Off target],Table2[OrgID],$C14,Table2[Rel_D],$B$10)</f>
        <v>407</v>
      </c>
      <c r="K14" s="83">
        <f>SUMIFS(Table2[12 Off target, with clinical review (2)],Table2[OrgID],$C14,Table2[Rel_D],$B$10)</f>
        <v>23</v>
      </c>
      <c r="L14" s="84">
        <f t="shared" ref="L14:L59" si="1">IFERROR(K14/J14,"-")</f>
        <v>5.6511056511056514E-2</v>
      </c>
      <c r="M14" s="340">
        <v>0.25</v>
      </c>
      <c r="N14" s="5"/>
      <c r="O14" s="5"/>
      <c r="P14" s="5"/>
      <c r="Q14" s="5"/>
      <c r="R14" s="5"/>
      <c r="S14" s="5"/>
    </row>
    <row r="15" spans="2:19" ht="15" customHeight="1">
      <c r="B15" s="73" t="s">
        <v>34</v>
      </c>
      <c r="C15" s="74" t="s">
        <v>57</v>
      </c>
      <c r="D15" s="450">
        <f>IF(COUNTIFS(Table2[OrgID],C15,Table2[Rel_D],Details!$D$61) =0,"-",SUMIFS(Table2[All currently registered regular patients aged 18+],Table2[OrgID],C15,Table2[Rel_D],Details!$D$61))</f>
        <v>4056</v>
      </c>
      <c r="E15" s="456" t="e">
        <f>SUMIFS(#REF!,#REF!,B15,#REF!,Details!$D$61)</f>
        <v>#REF!</v>
      </c>
      <c r="F15" s="105">
        <f>SUMIFS(Table2[D. Patients on the hypertension register],Table2[OrgID],$C15,Table2[Rel_D],$B$10)</f>
        <v>779</v>
      </c>
      <c r="G15" s="83">
        <f>SUMIFS(Table2[15 On target],Table2[OrgID],$C15,Table2[Rel_D],$B$10)</f>
        <v>290</v>
      </c>
      <c r="H15" s="84">
        <f t="shared" ref="H15" si="2">IFERROR(G15/F15, "-")</f>
        <v>0.37227214377406931</v>
      </c>
      <c r="I15" s="334">
        <v>0.5</v>
      </c>
      <c r="J15" s="83">
        <f>SUMIFS(Table2[Off target],Table2[OrgID],$C15,Table2[Rel_D],$B$10)</f>
        <v>489</v>
      </c>
      <c r="K15" s="83">
        <f>SUMIFS(Table2[12 Off target, with clinical review (2)],Table2[OrgID],$C15,Table2[Rel_D],$B$10)</f>
        <v>340</v>
      </c>
      <c r="L15" s="84">
        <f t="shared" ref="L15" si="3">IFERROR(K15/J15,"-")</f>
        <v>0.69529652351738236</v>
      </c>
      <c r="M15" s="340">
        <v>0.25</v>
      </c>
      <c r="N15" s="4"/>
      <c r="O15" s="4"/>
      <c r="P15" s="4"/>
      <c r="Q15" s="4"/>
      <c r="R15" s="4"/>
      <c r="S15" s="4"/>
    </row>
    <row r="16" spans="2:19" ht="15" customHeight="1">
      <c r="B16" s="73" t="s">
        <v>224</v>
      </c>
      <c r="C16" s="74" t="s">
        <v>61</v>
      </c>
      <c r="D16" s="450">
        <f>SUMIFS(Table2[All currently registered regular patients aged 18+],Table2[OrgID],C16,Table2[Rel_D],Details!$D$61)</f>
        <v>7294</v>
      </c>
      <c r="E16" s="433" t="e">
        <f>SUMIFS(#REF!,#REF!,B16,#REF!,Details!$D$61)</f>
        <v>#REF!</v>
      </c>
      <c r="F16" s="105">
        <f>SUMIFS(Table2[D. Patients on the hypertension register],Table2[OrgID],$C16,Table2[Rel_D],$B$10)</f>
        <v>807</v>
      </c>
      <c r="G16" s="83">
        <f>SUMIFS(Table2[15 On target],Table2[OrgID],$C16,Table2[Rel_D],$B$10)</f>
        <v>427</v>
      </c>
      <c r="H16" s="84">
        <f t="shared" si="0"/>
        <v>0.52912019826517964</v>
      </c>
      <c r="I16" s="334">
        <v>0.5</v>
      </c>
      <c r="J16" s="83">
        <f>SUMIFS(Table2[Off target],Table2[OrgID],$C16,Table2[Rel_D],$B$10)</f>
        <v>380</v>
      </c>
      <c r="K16" s="83">
        <f>SUMIFS(Table2[12 Off target, with clinical review (2)],Table2[OrgID],$C16,Table2[Rel_D],$B$10)</f>
        <v>107</v>
      </c>
      <c r="L16" s="84">
        <f t="shared" si="1"/>
        <v>0.28157894736842104</v>
      </c>
      <c r="M16" s="340">
        <v>0.25</v>
      </c>
    </row>
    <row r="17" spans="2:13">
      <c r="B17" s="73" t="s">
        <v>144</v>
      </c>
      <c r="C17" s="74" t="s">
        <v>64</v>
      </c>
      <c r="D17" s="450">
        <f>SUMIFS(Table2[All currently registered regular patients aged 18+],Table2[OrgID],C17,Table2[Rel_D],Details!$D$61)</f>
        <v>5457</v>
      </c>
      <c r="E17" s="433" t="e">
        <f>SUMIFS(#REF!,#REF!,B17,#REF!,Details!$D$61)</f>
        <v>#REF!</v>
      </c>
      <c r="F17" s="105">
        <f>SUMIFS(Table2[D. Patients on the hypertension register],Table2[OrgID],$C17,Table2[Rel_D],$B$10)</f>
        <v>544</v>
      </c>
      <c r="G17" s="83">
        <f>SUMIFS(Table2[15 On target],Table2[OrgID],$C17,Table2[Rel_D],$B$10)</f>
        <v>236</v>
      </c>
      <c r="H17" s="84">
        <f t="shared" si="0"/>
        <v>0.43382352941176472</v>
      </c>
      <c r="I17" s="334">
        <v>0.5</v>
      </c>
      <c r="J17" s="83">
        <f>SUMIFS(Table2[Off target],Table2[OrgID],$C17,Table2[Rel_D],$B$10)</f>
        <v>308</v>
      </c>
      <c r="K17" s="83">
        <f>SUMIFS(Table2[12 Off target, with clinical review (2)],Table2[OrgID],$C17,Table2[Rel_D],$B$10)</f>
        <v>58</v>
      </c>
      <c r="L17" s="84">
        <f t="shared" si="1"/>
        <v>0.18831168831168832</v>
      </c>
      <c r="M17" s="340">
        <v>0.25</v>
      </c>
    </row>
    <row r="18" spans="2:13">
      <c r="B18" s="73" t="s">
        <v>145</v>
      </c>
      <c r="C18" s="74" t="s">
        <v>65</v>
      </c>
      <c r="D18" s="450">
        <f>SUMIFS(Table2[All currently registered regular patients aged 18+],Table2[OrgID],C18,Table2[Rel_D],Details!$D$61)</f>
        <v>4824</v>
      </c>
      <c r="E18" s="433" t="e">
        <f>SUMIFS(#REF!,#REF!,B18,#REF!,Details!$D$61)</f>
        <v>#REF!</v>
      </c>
      <c r="F18" s="105">
        <f>SUMIFS(Table2[D. Patients on the hypertension register],Table2[OrgID],$C18,Table2[Rel_D],$B$10)</f>
        <v>705</v>
      </c>
      <c r="G18" s="83">
        <f>SUMIFS(Table2[15 On target],Table2[OrgID],$C18,Table2[Rel_D],$B$10)</f>
        <v>247</v>
      </c>
      <c r="H18" s="84">
        <f t="shared" si="0"/>
        <v>0.35035460992907802</v>
      </c>
      <c r="I18" s="334">
        <v>0.5</v>
      </c>
      <c r="J18" s="83">
        <f>SUMIFS(Table2[Off target],Table2[OrgID],$C18,Table2[Rel_D],$B$10)</f>
        <v>458</v>
      </c>
      <c r="K18" s="83">
        <f>SUMIFS(Table2[12 Off target, with clinical review (2)],Table2[OrgID],$C18,Table2[Rel_D],$B$10)</f>
        <v>60</v>
      </c>
      <c r="L18" s="84">
        <f t="shared" si="1"/>
        <v>0.13100436681222707</v>
      </c>
      <c r="M18" s="340">
        <v>0.25</v>
      </c>
    </row>
    <row r="19" spans="2:13">
      <c r="B19" s="73" t="s">
        <v>146</v>
      </c>
      <c r="C19" s="74" t="s">
        <v>66</v>
      </c>
      <c r="D19" s="450">
        <f>SUMIFS(Table2[All currently registered regular patients aged 18+],Table2[OrgID],C19,Table2[Rel_D],Details!$D$61)</f>
        <v>3253</v>
      </c>
      <c r="E19" s="433" t="e">
        <f>SUMIFS(#REF!,#REF!,B19,#REF!,Details!$D$61)</f>
        <v>#REF!</v>
      </c>
      <c r="F19" s="105">
        <f>SUMIFS(Table2[D. Patients on the hypertension register],Table2[OrgID],$C19,Table2[Rel_D],$B$10)</f>
        <v>297</v>
      </c>
      <c r="G19" s="83">
        <f>SUMIFS(Table2[15 On target],Table2[OrgID],$C19,Table2[Rel_D],$B$10)</f>
        <v>196</v>
      </c>
      <c r="H19" s="84">
        <f t="shared" si="0"/>
        <v>0.65993265993265993</v>
      </c>
      <c r="I19" s="334">
        <v>0.5</v>
      </c>
      <c r="J19" s="83">
        <f>SUMIFS(Table2[Off target],Table2[OrgID],$C19,Table2[Rel_D],$B$10)</f>
        <v>101</v>
      </c>
      <c r="K19" s="83">
        <f>SUMIFS(Table2[12 Off target, with clinical review (2)],Table2[OrgID],$C19,Table2[Rel_D],$B$10)</f>
        <v>38</v>
      </c>
      <c r="L19" s="84">
        <f t="shared" si="1"/>
        <v>0.37623762376237624</v>
      </c>
      <c r="M19" s="340">
        <v>0.25</v>
      </c>
    </row>
    <row r="20" spans="2:13" ht="15.75" thickBot="1">
      <c r="B20" s="75" t="s">
        <v>147</v>
      </c>
      <c r="C20" s="76" t="s">
        <v>58</v>
      </c>
      <c r="D20" s="455">
        <f>IF(COUNTIFS(Table2[OrgID],C20,Table2[Rel_D],Details!$D$61) =0,"-",SUMIFS(Table2[All currently registered regular patients aged 18+],Table2[OrgID],C20,Table2[Rel_D],Details!$D$61))</f>
        <v>5585</v>
      </c>
      <c r="E20" s="435" t="e">
        <f>SUMIFS(#REF!,#REF!,B20,#REF!,Details!$D$61)</f>
        <v>#REF!</v>
      </c>
      <c r="F20" s="105">
        <f>SUMIFS(Table2[D. Patients on the hypertension register],Table2[OrgID],$C20,Table2[Rel_D],$B$10)</f>
        <v>692</v>
      </c>
      <c r="G20" s="83">
        <f>SUMIFS(Table2[15 On target],Table2[OrgID],$C20,Table2[Rel_D],$B$10)</f>
        <v>357</v>
      </c>
      <c r="H20" s="84">
        <f t="shared" ref="H20" si="4">IFERROR(G20/F20, "-")</f>
        <v>0.51589595375722541</v>
      </c>
      <c r="I20" s="334">
        <v>0.5</v>
      </c>
      <c r="J20" s="83">
        <f>SUMIFS(Table2[Off target],Table2[OrgID],$C20,Table2[Rel_D],$B$10)</f>
        <v>335</v>
      </c>
      <c r="K20" s="83">
        <f>SUMIFS(Table2[12 Off target, with clinical review (2)],Table2[OrgID],$C20,Table2[Rel_D],$B$10)</f>
        <v>163</v>
      </c>
      <c r="L20" s="84">
        <f t="shared" ref="L20" si="5">IFERROR(K20/J20,"-")</f>
        <v>0.48656716417910445</v>
      </c>
      <c r="M20" s="341">
        <v>0.25</v>
      </c>
    </row>
    <row r="21" spans="2:13" ht="15.75" thickBot="1">
      <c r="B21" s="17" t="s">
        <v>148</v>
      </c>
      <c r="C21" s="18" t="s">
        <v>67</v>
      </c>
      <c r="D21" s="447">
        <f t="shared" ref="D21:E21" si="6">SUM(D13:D20)</f>
        <v>40125</v>
      </c>
      <c r="E21" s="448" t="e">
        <f t="shared" si="6"/>
        <v>#REF!</v>
      </c>
      <c r="F21" s="137">
        <f>SUM(F13:F20)</f>
        <v>5438</v>
      </c>
      <c r="G21" s="138">
        <f>SUM(G13:G20)</f>
        <v>2766</v>
      </c>
      <c r="H21" s="139">
        <f t="shared" si="0"/>
        <v>0.50864288341301944</v>
      </c>
      <c r="I21" s="139">
        <v>0.5</v>
      </c>
      <c r="J21" s="138">
        <f>SUM(J13:J20)</f>
        <v>2672</v>
      </c>
      <c r="K21" s="138">
        <f>SUM(K13:K20)</f>
        <v>844</v>
      </c>
      <c r="L21" s="139">
        <f t="shared" si="1"/>
        <v>0.31586826347305391</v>
      </c>
      <c r="M21" s="306">
        <v>0.25</v>
      </c>
    </row>
    <row r="22" spans="2:13">
      <c r="B22" s="77" t="s">
        <v>149</v>
      </c>
      <c r="C22" s="78" t="s">
        <v>56</v>
      </c>
      <c r="D22" s="449">
        <f>IF(COUNTIFS(Table2[OrgID],C22,Table2[Rel_D],Details!$D$61) =0,"-",SUMIFS(Table2[All currently registered regular patients aged 18+],Table2[OrgID],C22,Table2[Rel_D],Details!$D$61))</f>
        <v>12435</v>
      </c>
      <c r="E22" s="431" t="e">
        <f>SUMIFS(#REF!,#REF!,B22,#REF!,Details!$D$61)</f>
        <v>#REF!</v>
      </c>
      <c r="F22" s="105">
        <f>SUMIFS(Table2[D. Patients on the hypertension register],Table2[OrgID],$C22,Table2[Rel_D],$B$10)</f>
        <v>1975</v>
      </c>
      <c r="G22" s="83">
        <f>SUMIFS(Table2[15 On target],Table2[OrgID],$C22,Table2[Rel_D],$B$10)</f>
        <v>511</v>
      </c>
      <c r="H22" s="84">
        <f t="shared" ref="H22" si="7">IFERROR(G22/F22, "-")</f>
        <v>0.25873417721518988</v>
      </c>
      <c r="I22" s="334">
        <v>0.5</v>
      </c>
      <c r="J22" s="83">
        <f>SUMIFS(Table2[Off target],Table2[OrgID],$C22,Table2[Rel_D],$B$10)</f>
        <v>1464</v>
      </c>
      <c r="K22" s="83">
        <f>SUMIFS(Table2[12 Off target, with clinical review (2)],Table2[OrgID],$C22,Table2[Rel_D],$B$10)</f>
        <v>920</v>
      </c>
      <c r="L22" s="84">
        <f t="shared" ref="L22" si="8">IFERROR(K22/J22,"-")</f>
        <v>0.62841530054644812</v>
      </c>
      <c r="M22" s="342">
        <v>0.25</v>
      </c>
    </row>
    <row r="23" spans="2:13">
      <c r="B23" s="73" t="s">
        <v>150</v>
      </c>
      <c r="C23" s="74" t="s">
        <v>69</v>
      </c>
      <c r="D23" s="450">
        <f>SUMIFS(Table2[All currently registered regular patients aged 18+],Table2[OrgID],C23,Table2[Rel_D],Details!$D$61)</f>
        <v>7143</v>
      </c>
      <c r="E23" s="433" t="e">
        <f>SUMIFS(#REF!,#REF!,B23,#REF!,Details!$D$61)</f>
        <v>#REF!</v>
      </c>
      <c r="F23" s="105">
        <f>SUMIFS(Table2[D. Patients on the hypertension register],Table2[OrgID],$C23,Table2[Rel_D],$B$10)</f>
        <v>1327</v>
      </c>
      <c r="G23" s="83">
        <f>SUMIFS(Table2[15 On target],Table2[OrgID],$C23,Table2[Rel_D],$B$10)</f>
        <v>808</v>
      </c>
      <c r="H23" s="84">
        <f t="shared" si="0"/>
        <v>0.60889223813112281</v>
      </c>
      <c r="I23" s="334">
        <v>0.5</v>
      </c>
      <c r="J23" s="83">
        <f>SUMIFS(Table2[Off target],Table2[OrgID],$C23,Table2[Rel_D],$B$10)</f>
        <v>519</v>
      </c>
      <c r="K23" s="83">
        <f>SUMIFS(Table2[12 Off target, with clinical review (2)],Table2[OrgID],$C23,Table2[Rel_D],$B$10)</f>
        <v>285</v>
      </c>
      <c r="L23" s="84">
        <f t="shared" si="1"/>
        <v>0.54913294797687862</v>
      </c>
      <c r="M23" s="340">
        <v>0.25</v>
      </c>
    </row>
    <row r="24" spans="2:13">
      <c r="B24" s="73" t="s">
        <v>151</v>
      </c>
      <c r="C24" s="74" t="s">
        <v>70</v>
      </c>
      <c r="D24" s="450">
        <f>SUMIFS(Table2[All currently registered regular patients aged 18+],Table2[OrgID],C24,Table2[Rel_D],Details!$D$61)</f>
        <v>10588</v>
      </c>
      <c r="E24" s="433" t="e">
        <f>SUMIFS(#REF!,#REF!,B24,#REF!,Details!$D$61)</f>
        <v>#REF!</v>
      </c>
      <c r="F24" s="105">
        <f>SUMIFS(Table2[D. Patients on the hypertension register],Table2[OrgID],$C24,Table2[Rel_D],$B$10)</f>
        <v>1831</v>
      </c>
      <c r="G24" s="83">
        <f>SUMIFS(Table2[15 On target],Table2[OrgID],$C24,Table2[Rel_D],$B$10)</f>
        <v>1046</v>
      </c>
      <c r="H24" s="84">
        <f t="shared" si="0"/>
        <v>0.57127252867285638</v>
      </c>
      <c r="I24" s="334">
        <v>0.5</v>
      </c>
      <c r="J24" s="83">
        <f>SUMIFS(Table2[Off target],Table2[OrgID],$C24,Table2[Rel_D],$B$10)</f>
        <v>785</v>
      </c>
      <c r="K24" s="83">
        <f>SUMIFS(Table2[12 Off target, with clinical review (2)],Table2[OrgID],$C24,Table2[Rel_D],$B$10)</f>
        <v>348</v>
      </c>
      <c r="L24" s="84">
        <f t="shared" si="1"/>
        <v>0.44331210191082804</v>
      </c>
      <c r="M24" s="340">
        <v>0.25</v>
      </c>
    </row>
    <row r="25" spans="2:13">
      <c r="B25" s="73" t="s">
        <v>152</v>
      </c>
      <c r="C25" s="74" t="s">
        <v>71</v>
      </c>
      <c r="D25" s="450">
        <f>SUMIFS(Table2[All currently registered regular patients aged 18+],Table2[OrgID],C25,Table2[Rel_D],Details!$D$61)</f>
        <v>5687</v>
      </c>
      <c r="E25" s="433" t="e">
        <f>SUMIFS(#REF!,#REF!,B25,#REF!,Details!$D$61)</f>
        <v>#REF!</v>
      </c>
      <c r="F25" s="105">
        <f>SUMIFS(Table2[D. Patients on the hypertension register],Table2[OrgID],$C25,Table2[Rel_D],$B$10)</f>
        <v>1077</v>
      </c>
      <c r="G25" s="83">
        <f>SUMIFS(Table2[15 On target],Table2[OrgID],$C25,Table2[Rel_D],$B$10)</f>
        <v>452</v>
      </c>
      <c r="H25" s="84">
        <f t="shared" si="0"/>
        <v>0.41968430826369546</v>
      </c>
      <c r="I25" s="334">
        <v>0.5</v>
      </c>
      <c r="J25" s="83">
        <f>SUMIFS(Table2[Off target],Table2[OrgID],$C25,Table2[Rel_D],$B$10)</f>
        <v>625</v>
      </c>
      <c r="K25" s="83">
        <f>SUMIFS(Table2[12 Off target, with clinical review (2)],Table2[OrgID],$C25,Table2[Rel_D],$B$10)</f>
        <v>64</v>
      </c>
      <c r="L25" s="84">
        <f t="shared" si="1"/>
        <v>0.1024</v>
      </c>
      <c r="M25" s="340">
        <v>0.25</v>
      </c>
    </row>
    <row r="26" spans="2:13" ht="15.75" thickBot="1">
      <c r="B26" s="75" t="s">
        <v>153</v>
      </c>
      <c r="C26" s="76" t="s">
        <v>72</v>
      </c>
      <c r="D26" s="455">
        <f>SUMIFS(Table2[All currently registered regular patients aged 18+],Table2[OrgID],C26,Table2[Rel_D],Details!$D$61)</f>
        <v>6045</v>
      </c>
      <c r="E26" s="435" t="e">
        <f>SUMIFS(#REF!,#REF!,B26,#REF!,Details!$D$61)</f>
        <v>#REF!</v>
      </c>
      <c r="F26" s="106">
        <f>SUMIFS(Table2[D. Patients on the hypertension register],Table2[OrgID],$C26,Table2[Rel_D],$B$10)</f>
        <v>846</v>
      </c>
      <c r="G26" s="85">
        <f>SUMIFS(Table2[15 On target],Table2[OrgID],$C26,Table2[Rel_D],$B$10)</f>
        <v>630</v>
      </c>
      <c r="H26" s="86">
        <f t="shared" si="0"/>
        <v>0.74468085106382975</v>
      </c>
      <c r="I26" s="335">
        <v>0.5</v>
      </c>
      <c r="J26" s="85">
        <f>SUMIFS(Table2[Off target],Table2[OrgID],$C26,Table2[Rel_D],$B$10)</f>
        <v>216</v>
      </c>
      <c r="K26" s="85">
        <f>SUMIFS(Table2[12 Off target, with clinical review (2)],Table2[OrgID],$C26,Table2[Rel_D],$B$10)</f>
        <v>113</v>
      </c>
      <c r="L26" s="86">
        <f t="shared" si="1"/>
        <v>0.52314814814814814</v>
      </c>
      <c r="M26" s="341">
        <v>0.25</v>
      </c>
    </row>
    <row r="27" spans="2:13" ht="15.75" thickBot="1">
      <c r="B27" s="17" t="s">
        <v>154</v>
      </c>
      <c r="C27" s="18" t="s">
        <v>74</v>
      </c>
      <c r="D27" s="447">
        <f>SUM(D22:D26)</f>
        <v>41898</v>
      </c>
      <c r="E27" s="448" t="e">
        <f t="shared" ref="E27" si="9">SUM(E22:E26)</f>
        <v>#REF!</v>
      </c>
      <c r="F27" s="137">
        <f>SUM(F22:F26)</f>
        <v>7056</v>
      </c>
      <c r="G27" s="138">
        <f>SUM(G22:G26)</f>
        <v>3447</v>
      </c>
      <c r="H27" s="139">
        <f t="shared" si="0"/>
        <v>0.48852040816326531</v>
      </c>
      <c r="I27" s="139">
        <v>0.5</v>
      </c>
      <c r="J27" s="138">
        <f>SUM(J22:J26)</f>
        <v>3609</v>
      </c>
      <c r="K27" s="138">
        <f>SUM(K22:K26)</f>
        <v>1730</v>
      </c>
      <c r="L27" s="139">
        <f t="shared" si="1"/>
        <v>0.47935716264893324</v>
      </c>
      <c r="M27" s="306">
        <v>0.25</v>
      </c>
    </row>
    <row r="28" spans="2:13">
      <c r="B28" s="77" t="s">
        <v>155</v>
      </c>
      <c r="C28" s="78" t="s">
        <v>75</v>
      </c>
      <c r="D28" s="449">
        <f>SUMIFS(Table2[All currently registered regular patients aged 18+],Table2[OrgID],C28,Table2[Rel_D],Details!$D$61)</f>
        <v>7813</v>
      </c>
      <c r="E28" s="431" t="e">
        <f>SUMIFS(#REF!,#REF!,B28,#REF!,Details!$D$61)</f>
        <v>#REF!</v>
      </c>
      <c r="F28" s="108">
        <f>SUMIFS(Table2[D. Patients on the hypertension register],Table2[OrgID],$C28,Table2[Rel_D],$B$10)</f>
        <v>1139</v>
      </c>
      <c r="G28" s="89">
        <f>SUMIFS(Table2[15 On target],Table2[OrgID],$C28,Table2[Rel_D],$B$10)</f>
        <v>593</v>
      </c>
      <c r="H28" s="88">
        <f t="shared" si="0"/>
        <v>0.52063213345039505</v>
      </c>
      <c r="I28" s="337">
        <v>0.5</v>
      </c>
      <c r="J28" s="87">
        <f>SUMIFS(Table2[Off target],Table2[OrgID],$C28,Table2[Rel_D],$B$10)</f>
        <v>546</v>
      </c>
      <c r="K28" s="87">
        <f>SUMIFS(Table2[12 Off target, with clinical review (2)],Table2[OrgID],$C28,Table2[Rel_D],$B$10)</f>
        <v>196</v>
      </c>
      <c r="L28" s="88">
        <f t="shared" si="1"/>
        <v>0.35897435897435898</v>
      </c>
      <c r="M28" s="342">
        <v>0.25</v>
      </c>
    </row>
    <row r="29" spans="2:13">
      <c r="B29" s="73" t="s">
        <v>156</v>
      </c>
      <c r="C29" s="74" t="s">
        <v>76</v>
      </c>
      <c r="D29" s="450">
        <f>SUMIFS(Table2[All currently registered regular patients aged 18+],Table2[OrgID],C29,Table2[Rel_D],Details!$D$61)</f>
        <v>8209</v>
      </c>
      <c r="E29" s="433" t="e">
        <f>SUMIFS(#REF!,#REF!,B29,#REF!,Details!$D$61)</f>
        <v>#REF!</v>
      </c>
      <c r="F29" s="109">
        <f>SUMIFS(Table2[D. Patients on the hypertension register],Table2[OrgID],$C29,Table2[Rel_D],$B$10)</f>
        <v>1067</v>
      </c>
      <c r="G29" s="90">
        <f>SUMIFS(Table2[15 On target],Table2[OrgID],$C29,Table2[Rel_D],$B$10)</f>
        <v>685</v>
      </c>
      <c r="H29" s="84">
        <f t="shared" si="0"/>
        <v>0.64198687910028118</v>
      </c>
      <c r="I29" s="334">
        <v>0.5</v>
      </c>
      <c r="J29" s="83">
        <f>SUMIFS(Table2[Off target],Table2[OrgID],$C29,Table2[Rel_D],$B$10)</f>
        <v>382</v>
      </c>
      <c r="K29" s="83">
        <f>SUMIFS(Table2[12 Off target, with clinical review (2)],Table2[OrgID],$C29,Table2[Rel_D],$B$10)</f>
        <v>150</v>
      </c>
      <c r="L29" s="84">
        <f t="shared" si="1"/>
        <v>0.39267015706806285</v>
      </c>
      <c r="M29" s="340">
        <v>0.25</v>
      </c>
    </row>
    <row r="30" spans="2:13" ht="15.75" thickBot="1">
      <c r="B30" s="75" t="s">
        <v>157</v>
      </c>
      <c r="C30" s="76" t="s">
        <v>59</v>
      </c>
      <c r="D30" s="455">
        <f>IF(COUNTIFS(Table2[OrgID],C30,Table2[Rel_D],Details!$D$61) =0,"-",SUMIFS(Table2[All currently registered regular patients aged 18+],Table2[OrgID],C30,Table2[Rel_D],Details!$D$61))</f>
        <v>11775</v>
      </c>
      <c r="E30" s="435" t="e">
        <f>SUMIFS(#REF!,#REF!,B30,#REF!,Details!$D$61)</f>
        <v>#REF!</v>
      </c>
      <c r="F30" s="109">
        <f>SUMIFS(Table2[D. Patients on the hypertension register],Table2[OrgID],$C30,Table2[Rel_D],$B$10)</f>
        <v>1480</v>
      </c>
      <c r="G30" s="90">
        <f>SUMIFS(Table2[15 On target],Table2[OrgID],$C30,Table2[Rel_D],$B$10)</f>
        <v>655</v>
      </c>
      <c r="H30" s="84">
        <f t="shared" ref="H30" si="10">IFERROR(G30/F30, "-")</f>
        <v>0.44256756756756754</v>
      </c>
      <c r="I30" s="334">
        <v>0.5</v>
      </c>
      <c r="J30" s="83">
        <f>SUMIFS(Table2[Off target],Table2[OrgID],$C30,Table2[Rel_D],$B$10)</f>
        <v>825</v>
      </c>
      <c r="K30" s="83">
        <f>SUMIFS(Table2[12 Off target, with clinical review (2)],Table2[OrgID],$C30,Table2[Rel_D],$B$10)</f>
        <v>513</v>
      </c>
      <c r="L30" s="84">
        <f t="shared" ref="L30" si="11">IFERROR(K30/J30,"-")</f>
        <v>0.62181818181818183</v>
      </c>
      <c r="M30" s="341">
        <v>0.25</v>
      </c>
    </row>
    <row r="31" spans="2:13" ht="15.75" thickBot="1">
      <c r="B31" s="17" t="s">
        <v>158</v>
      </c>
      <c r="C31" s="18" t="s">
        <v>77</v>
      </c>
      <c r="D31" s="447">
        <f>SUM(D28:D30)</f>
        <v>27797</v>
      </c>
      <c r="E31" s="448" t="e">
        <f t="shared" ref="E31" si="12">SUM(E28:E30)</f>
        <v>#REF!</v>
      </c>
      <c r="F31" s="137">
        <f>SUM(F28:F30)</f>
        <v>3686</v>
      </c>
      <c r="G31" s="138">
        <f>SUM(G28:G30)</f>
        <v>1933</v>
      </c>
      <c r="H31" s="139">
        <f t="shared" si="0"/>
        <v>0.52441671188279981</v>
      </c>
      <c r="I31" s="336">
        <v>0.5</v>
      </c>
      <c r="J31" s="138">
        <f>SUM(J28:J30)</f>
        <v>1753</v>
      </c>
      <c r="K31" s="138">
        <f>SUM(K28:K30)</f>
        <v>859</v>
      </c>
      <c r="L31" s="139">
        <f t="shared" si="1"/>
        <v>0.49001711351968052</v>
      </c>
      <c r="M31" s="306">
        <v>0.25</v>
      </c>
    </row>
    <row r="32" spans="2:13">
      <c r="B32" s="77" t="s">
        <v>159</v>
      </c>
      <c r="C32" s="78" t="s">
        <v>78</v>
      </c>
      <c r="D32" s="449">
        <f>SUMIFS(Table2[All currently registered regular patients aged 18+],Table2[OrgID],C32,Table2[Rel_D],Details!$D$61)</f>
        <v>11555</v>
      </c>
      <c r="E32" s="431" t="e">
        <f>SUMIFS(#REF!,#REF!,B32,#REF!,Details!$D$61)</f>
        <v>#REF!</v>
      </c>
      <c r="F32" s="107">
        <f>SUMIFS(Table2[D. Patients on the hypertension register],Table2[OrgID],$C32,Table2[Rel_D],$B$10)</f>
        <v>1418</v>
      </c>
      <c r="G32" s="87">
        <f>SUMIFS(Table2[15 On target],Table2[OrgID],$C32,Table2[Rel_D],$B$10)</f>
        <v>705</v>
      </c>
      <c r="H32" s="88">
        <f t="shared" si="0"/>
        <v>0.49717912552891397</v>
      </c>
      <c r="I32" s="337">
        <v>0.5</v>
      </c>
      <c r="J32" s="87">
        <f>SUMIFS(Table2[Off target],Table2[OrgID],$C32,Table2[Rel_D],$B$10)</f>
        <v>713</v>
      </c>
      <c r="K32" s="87">
        <f>SUMIFS(Table2[12 Off target, with clinical review (2)],Table2[OrgID],$C32,Table2[Rel_D],$B$10)</f>
        <v>140</v>
      </c>
      <c r="L32" s="88">
        <f t="shared" si="1"/>
        <v>0.19635343618513323</v>
      </c>
      <c r="M32" s="342">
        <v>0.25</v>
      </c>
    </row>
    <row r="33" spans="2:13">
      <c r="B33" s="73" t="s">
        <v>225</v>
      </c>
      <c r="C33" s="76" t="s">
        <v>79</v>
      </c>
      <c r="D33" s="450">
        <f>SUMIFS(Table2[All currently registered regular patients aged 18+],Table2[OrgID],C33,Table2[Rel_D],Details!$D$61)</f>
        <v>8734</v>
      </c>
      <c r="E33" s="433" t="e">
        <f>SUMIFS(#REF!,#REF!,B33,#REF!,Details!$D$61)</f>
        <v>#REF!</v>
      </c>
      <c r="F33" s="106">
        <f>SUMIFS(Table2[D. Patients on the hypertension register],Table2[OrgID],$C33,Table2[Rel_D],$B$10)</f>
        <v>764</v>
      </c>
      <c r="G33" s="85">
        <f>SUMIFS(Table2[15 On target],Table2[OrgID],$C33,Table2[Rel_D],$B$10)</f>
        <v>391</v>
      </c>
      <c r="H33" s="86">
        <f t="shared" si="0"/>
        <v>0.51178010471204194</v>
      </c>
      <c r="I33" s="335">
        <v>0.5</v>
      </c>
      <c r="J33" s="85">
        <f>SUMIFS(Table2[Off target],Table2[OrgID],$C33,Table2[Rel_D],$B$10)</f>
        <v>373</v>
      </c>
      <c r="K33" s="85">
        <f>SUMIFS(Table2[12 Off target, with clinical review (2)],Table2[OrgID],$C33,Table2[Rel_D],$B$10)</f>
        <v>78</v>
      </c>
      <c r="L33" s="86">
        <f t="shared" si="1"/>
        <v>0.20911528150134048</v>
      </c>
      <c r="M33" s="341">
        <v>0.25</v>
      </c>
    </row>
    <row r="34" spans="2:13">
      <c r="B34" s="73" t="s">
        <v>161</v>
      </c>
      <c r="C34" s="74" t="s">
        <v>80</v>
      </c>
      <c r="D34" s="450">
        <f>SUMIFS(Table2[All currently registered regular patients aged 18+],Table2[OrgID],C34,Table2[Rel_D],Details!$D$61)</f>
        <v>5550</v>
      </c>
      <c r="E34" s="433" t="e">
        <f>SUMIFS(#REF!,#REF!,B34,#REF!,Details!$D$61)</f>
        <v>#REF!</v>
      </c>
      <c r="F34" s="105">
        <f>SUMIFS(Table2[D. Patients on the hypertension register],Table2[OrgID],$C34,Table2[Rel_D],$B$10)</f>
        <v>585</v>
      </c>
      <c r="G34" s="83">
        <f>SUMIFS(Table2[15 On target],Table2[OrgID],$C34,Table2[Rel_D],$B$10)</f>
        <v>340</v>
      </c>
      <c r="H34" s="84">
        <f t="shared" si="0"/>
        <v>0.58119658119658124</v>
      </c>
      <c r="I34" s="334">
        <v>0.5</v>
      </c>
      <c r="J34" s="83">
        <f>SUMIFS(Table2[Off target],Table2[OrgID],$C34,Table2[Rel_D],$B$10)</f>
        <v>245</v>
      </c>
      <c r="K34" s="83">
        <f>SUMIFS(Table2[12 Off target, with clinical review (2)],Table2[OrgID],$C34,Table2[Rel_D],$B$10)</f>
        <v>105</v>
      </c>
      <c r="L34" s="84">
        <f t="shared" si="1"/>
        <v>0.42857142857142855</v>
      </c>
      <c r="M34" s="340">
        <v>0.25</v>
      </c>
    </row>
    <row r="35" spans="2:13">
      <c r="B35" s="73" t="s">
        <v>162</v>
      </c>
      <c r="C35" s="74" t="s">
        <v>81</v>
      </c>
      <c r="D35" s="450">
        <f>SUMIFS(Table2[All currently registered regular patients aged 18+],Table2[OrgID],C35,Table2[Rel_D],Details!$D$61)</f>
        <v>2808</v>
      </c>
      <c r="E35" s="433" t="e">
        <f>SUMIFS(#REF!,#REF!,B35,#REF!,Details!$D$61)</f>
        <v>#REF!</v>
      </c>
      <c r="F35" s="105">
        <f>SUMIFS(Table2[D. Patients on the hypertension register],Table2[OrgID],$C35,Table2[Rel_D],$B$10)</f>
        <v>351</v>
      </c>
      <c r="G35" s="83">
        <f>SUMIFS(Table2[15 On target],Table2[OrgID],$C35,Table2[Rel_D],$B$10)</f>
        <v>194</v>
      </c>
      <c r="H35" s="84">
        <f t="shared" si="0"/>
        <v>0.55270655270655267</v>
      </c>
      <c r="I35" s="334">
        <v>0.5</v>
      </c>
      <c r="J35" s="83">
        <f>SUMIFS(Table2[Off target],Table2[OrgID],$C35,Table2[Rel_D],$B$10)</f>
        <v>157</v>
      </c>
      <c r="K35" s="83">
        <f>SUMIFS(Table2[12 Off target, with clinical review (2)],Table2[OrgID],$C35,Table2[Rel_D],$B$10)</f>
        <v>70</v>
      </c>
      <c r="L35" s="84">
        <f t="shared" si="1"/>
        <v>0.44585987261146498</v>
      </c>
      <c r="M35" s="340">
        <v>0.25</v>
      </c>
    </row>
    <row r="36" spans="2:13">
      <c r="B36" s="73" t="s">
        <v>163</v>
      </c>
      <c r="C36" s="74" t="s">
        <v>82</v>
      </c>
      <c r="D36" s="450">
        <f>SUMIFS(Table2[All currently registered regular patients aged 18+],Table2[OrgID],C36,Table2[Rel_D],Details!$D$61)</f>
        <v>6361</v>
      </c>
      <c r="E36" s="433" t="e">
        <f>SUMIFS(#REF!,#REF!,B36,#REF!,Details!$D$61)</f>
        <v>#REF!</v>
      </c>
      <c r="F36" s="105">
        <f>SUMIFS(Table2[D. Patients on the hypertension register],Table2[OrgID],$C36,Table2[Rel_D],$B$10)</f>
        <v>688</v>
      </c>
      <c r="G36" s="83">
        <f>SUMIFS(Table2[15 On target],Table2[OrgID],$C36,Table2[Rel_D],$B$10)</f>
        <v>329</v>
      </c>
      <c r="H36" s="84">
        <f t="shared" si="0"/>
        <v>0.47819767441860467</v>
      </c>
      <c r="I36" s="334">
        <v>0.5</v>
      </c>
      <c r="J36" s="83">
        <f>SUMIFS(Table2[Off target],Table2[OrgID],$C36,Table2[Rel_D],$B$10)</f>
        <v>359</v>
      </c>
      <c r="K36" s="83">
        <f>SUMIFS(Table2[12 Off target, with clinical review (2)],Table2[OrgID],$C36,Table2[Rel_D],$B$10)</f>
        <v>94</v>
      </c>
      <c r="L36" s="84">
        <f t="shared" si="1"/>
        <v>0.2618384401114206</v>
      </c>
      <c r="M36" s="340">
        <v>0.25</v>
      </c>
    </row>
    <row r="37" spans="2:13">
      <c r="B37" s="73" t="s">
        <v>164</v>
      </c>
      <c r="C37" s="74" t="s">
        <v>83</v>
      </c>
      <c r="D37" s="450">
        <f>SUMIFS(Table2[All currently registered regular patients aged 18+],Table2[OrgID],C37,Table2[Rel_D],Details!$D$61)</f>
        <v>4175</v>
      </c>
      <c r="E37" s="433" t="e">
        <f>SUMIFS(#REF!,#REF!,B37,#REF!,Details!$D$61)</f>
        <v>#REF!</v>
      </c>
      <c r="F37" s="105">
        <f>SUMIFS(Table2[D. Patients on the hypertension register],Table2[OrgID],$C37,Table2[Rel_D],$B$10)</f>
        <v>677</v>
      </c>
      <c r="G37" s="83">
        <f>SUMIFS(Table2[15 On target],Table2[OrgID],$C37,Table2[Rel_D],$B$10)</f>
        <v>322</v>
      </c>
      <c r="H37" s="84">
        <f>IFERROR(G37/F37, "-")</f>
        <v>0.4756277695716396</v>
      </c>
      <c r="I37" s="334">
        <v>0.5</v>
      </c>
      <c r="J37" s="83">
        <f>SUMIFS(Table2[Off target],Table2[OrgID],$C37,Table2[Rel_D],$B$10)</f>
        <v>355</v>
      </c>
      <c r="K37" s="83">
        <f>SUMIFS(Table2[12 Off target, with clinical review (2)],Table2[OrgID],$C37,Table2[Rel_D],$B$10)</f>
        <v>55</v>
      </c>
      <c r="L37" s="84">
        <f t="shared" si="1"/>
        <v>0.15492957746478872</v>
      </c>
      <c r="M37" s="340">
        <v>0.25</v>
      </c>
    </row>
    <row r="38" spans="2:13" ht="15.75" thickBot="1">
      <c r="B38" s="75" t="s">
        <v>165</v>
      </c>
      <c r="C38" s="76" t="s">
        <v>63</v>
      </c>
      <c r="D38" s="455">
        <f>IF(COUNTIFS(Table2[OrgID],C38,Table2[Rel_D],Details!$D$61) =0,"-",SUMIFS(Table2[All currently registered regular patients aged 18+],Table2[OrgID],C38,Table2[Rel_D],Details!$D$61))</f>
        <v>7767</v>
      </c>
      <c r="E38" s="435" t="e">
        <f>SUMIFS(#REF!,#REF!,B38,#REF!,Details!$D$61)</f>
        <v>#REF!</v>
      </c>
      <c r="F38" s="105">
        <f>SUMIFS(Table2[D. Patients on the hypertension register],Table2[OrgID],$C38,Table2[Rel_D],$B$10)</f>
        <v>1324</v>
      </c>
      <c r="G38" s="83">
        <f>SUMIFS(Table2[15 On target],Table2[OrgID],$C38,Table2[Rel_D],$B$10)</f>
        <v>401</v>
      </c>
      <c r="H38" s="84">
        <f>IFERROR(G38/F38, "-")</f>
        <v>0.30287009063444109</v>
      </c>
      <c r="I38" s="334">
        <v>0.5</v>
      </c>
      <c r="J38" s="83">
        <f>SUMIFS(Table2[Off target],Table2[OrgID],$C38,Table2[Rel_D],$B$10)</f>
        <v>923</v>
      </c>
      <c r="K38" s="83">
        <f>SUMIFS(Table2[12 Off target, with clinical review (2)],Table2[OrgID],$C38,Table2[Rel_D],$B$10)</f>
        <v>637</v>
      </c>
      <c r="L38" s="84">
        <f t="shared" ref="L38" si="13">IFERROR(K38/J38,"-")</f>
        <v>0.6901408450704225</v>
      </c>
      <c r="M38" s="341">
        <v>0.25</v>
      </c>
    </row>
    <row r="39" spans="2:13" ht="15.75" thickBot="1">
      <c r="B39" s="17" t="s">
        <v>166</v>
      </c>
      <c r="C39" s="18" t="s">
        <v>84</v>
      </c>
      <c r="D39" s="447">
        <f t="shared" ref="D39:E39" si="14">SUM(D32:D38)</f>
        <v>46950</v>
      </c>
      <c r="E39" s="448" t="e">
        <f t="shared" si="14"/>
        <v>#REF!</v>
      </c>
      <c r="F39" s="137">
        <f>SUM(F32:F38)</f>
        <v>5807</v>
      </c>
      <c r="G39" s="138">
        <f>SUM(G32:G38)</f>
        <v>2682</v>
      </c>
      <c r="H39" s="139">
        <f t="shared" si="0"/>
        <v>0.46185638023075598</v>
      </c>
      <c r="I39" s="139">
        <v>0.5</v>
      </c>
      <c r="J39" s="138">
        <f>SUM(J32:J38)</f>
        <v>3125</v>
      </c>
      <c r="K39" s="138">
        <f>SUM(K32:K38)</f>
        <v>1179</v>
      </c>
      <c r="L39" s="139">
        <f t="shared" si="1"/>
        <v>0.37728</v>
      </c>
      <c r="M39" s="306">
        <v>0.25</v>
      </c>
    </row>
    <row r="40" spans="2:13">
      <c r="B40" s="77" t="s">
        <v>167</v>
      </c>
      <c r="C40" s="78" t="s">
        <v>85</v>
      </c>
      <c r="D40" s="449">
        <f>SUMIFS(Table2[All currently registered regular patients aged 18+],Table2[OrgID],C40,Table2[Rel_D],Details!$D$61)</f>
        <v>5335</v>
      </c>
      <c r="E40" s="431" t="e">
        <f>SUMIFS(#REF!,#REF!,B40,#REF!,Details!$D$61)</f>
        <v>#REF!</v>
      </c>
      <c r="F40" s="107">
        <f>SUMIFS(Table2[D. Patients on the hypertension register],Table2[OrgID],$C40,Table2[Rel_D],$B$10)</f>
        <v>596</v>
      </c>
      <c r="G40" s="87">
        <f>SUMIFS(Table2[15 On target],Table2[OrgID],$C40,Table2[Rel_D],$B$10)</f>
        <v>291</v>
      </c>
      <c r="H40" s="88">
        <f t="shared" si="0"/>
        <v>0.48825503355704697</v>
      </c>
      <c r="I40" s="337">
        <v>0.5</v>
      </c>
      <c r="J40" s="87">
        <f>SUMIFS(Table2[Off target],Table2[OrgID],$C40,Table2[Rel_D],$B$10)</f>
        <v>305</v>
      </c>
      <c r="K40" s="87">
        <f>SUMIFS(Table2[12 Off target, with clinical review (2)],Table2[OrgID],$C40,Table2[Rel_D],$B$10)</f>
        <v>48</v>
      </c>
      <c r="L40" s="88">
        <f t="shared" si="1"/>
        <v>0.15737704918032788</v>
      </c>
      <c r="M40" s="342">
        <v>0.25</v>
      </c>
    </row>
    <row r="41" spans="2:13">
      <c r="B41" s="73" t="s">
        <v>168</v>
      </c>
      <c r="C41" s="74" t="s">
        <v>86</v>
      </c>
      <c r="D41" s="450">
        <f>SUMIFS(Table2[All currently registered regular patients aged 18+],Table2[OrgID],C41,Table2[Rel_D],Details!$D$61)</f>
        <v>1693</v>
      </c>
      <c r="E41" s="433" t="e">
        <f>SUMIFS(#REF!,#REF!,B41,#REF!,Details!$D$61)</f>
        <v>#REF!</v>
      </c>
      <c r="F41" s="105">
        <f>SUMIFS(Table2[D. Patients on the hypertension register],Table2[OrgID],$C41,Table2[Rel_D],$B$10)</f>
        <v>261</v>
      </c>
      <c r="G41" s="83">
        <f>SUMIFS(Table2[15 On target],Table2[OrgID],$C41,Table2[Rel_D],$B$10)</f>
        <v>139</v>
      </c>
      <c r="H41" s="84">
        <f t="shared" si="0"/>
        <v>0.53256704980842917</v>
      </c>
      <c r="I41" s="334">
        <v>0.5</v>
      </c>
      <c r="J41" s="83">
        <f>SUMIFS(Table2[Off target],Table2[OrgID],$C41,Table2[Rel_D],$B$10)</f>
        <v>122</v>
      </c>
      <c r="K41" s="83">
        <f>SUMIFS(Table2[12 Off target, with clinical review (2)],Table2[OrgID],$C41,Table2[Rel_D],$B$10)</f>
        <v>17</v>
      </c>
      <c r="L41" s="84">
        <f t="shared" si="1"/>
        <v>0.13934426229508196</v>
      </c>
      <c r="M41" s="340">
        <v>0.25</v>
      </c>
    </row>
    <row r="42" spans="2:13">
      <c r="B42" s="73" t="s">
        <v>169</v>
      </c>
      <c r="C42" s="74" t="s">
        <v>87</v>
      </c>
      <c r="D42" s="450">
        <f>SUMIFS(Table2[All currently registered regular patients aged 18+],Table2[OrgID],C42,Table2[Rel_D],Details!$D$61)</f>
        <v>3066</v>
      </c>
      <c r="E42" s="433" t="e">
        <f>SUMIFS(#REF!,#REF!,B42,#REF!,Details!$D$61)</f>
        <v>#REF!</v>
      </c>
      <c r="F42" s="105">
        <f>SUMIFS(Table2[D. Patients on the hypertension register],Table2[OrgID],$C42,Table2[Rel_D],$B$10)</f>
        <v>466</v>
      </c>
      <c r="G42" s="83">
        <f>SUMIFS(Table2[15 On target],Table2[OrgID],$C42,Table2[Rel_D],$B$10)</f>
        <v>236</v>
      </c>
      <c r="H42" s="84">
        <f t="shared" si="0"/>
        <v>0.50643776824034337</v>
      </c>
      <c r="I42" s="334">
        <v>0.5</v>
      </c>
      <c r="J42" s="83">
        <f>SUMIFS(Table2[Off target],Table2[OrgID],$C42,Table2[Rel_D],$B$10)</f>
        <v>230</v>
      </c>
      <c r="K42" s="83">
        <f>SUMIFS(Table2[12 Off target, with clinical review (2)],Table2[OrgID],$C42,Table2[Rel_D],$B$10)</f>
        <v>97</v>
      </c>
      <c r="L42" s="84">
        <f t="shared" si="1"/>
        <v>0.42173913043478262</v>
      </c>
      <c r="M42" s="340">
        <v>0.25</v>
      </c>
    </row>
    <row r="43" spans="2:13">
      <c r="B43" s="73" t="s">
        <v>170</v>
      </c>
      <c r="C43" s="74" t="s">
        <v>88</v>
      </c>
      <c r="D43" s="450">
        <f>SUMIFS(Table2[All currently registered regular patients aged 18+],Table2[OrgID],C43,Table2[Rel_D],Details!$D$61)</f>
        <v>4678</v>
      </c>
      <c r="E43" s="433" t="e">
        <f>SUMIFS(#REF!,#REF!,B43,#REF!,Details!$D$61)</f>
        <v>#REF!</v>
      </c>
      <c r="F43" s="105">
        <f>SUMIFS(Table2[D. Patients on the hypertension register],Table2[OrgID],$C43,Table2[Rel_D],$B$10)</f>
        <v>685</v>
      </c>
      <c r="G43" s="83">
        <f>SUMIFS(Table2[15 On target],Table2[OrgID],$C43,Table2[Rel_D],$B$10)</f>
        <v>336</v>
      </c>
      <c r="H43" s="84">
        <f t="shared" si="0"/>
        <v>0.49051094890510949</v>
      </c>
      <c r="I43" s="334">
        <v>0.5</v>
      </c>
      <c r="J43" s="83">
        <f>SUMIFS(Table2[Off target],Table2[OrgID],$C43,Table2[Rel_D],$B$10)</f>
        <v>349</v>
      </c>
      <c r="K43" s="83">
        <f>SUMIFS(Table2[12 Off target, with clinical review (2)],Table2[OrgID],$C43,Table2[Rel_D],$B$10)</f>
        <v>156</v>
      </c>
      <c r="L43" s="84">
        <f t="shared" si="1"/>
        <v>0.44699140401146131</v>
      </c>
      <c r="M43" s="340">
        <v>0.25</v>
      </c>
    </row>
    <row r="44" spans="2:13">
      <c r="B44" s="73" t="s">
        <v>171</v>
      </c>
      <c r="C44" s="74" t="s">
        <v>89</v>
      </c>
      <c r="D44" s="450">
        <f>SUMIFS(Table2[All currently registered regular patients aged 18+],Table2[OrgID],C44,Table2[Rel_D],Details!$D$61)</f>
        <v>11904</v>
      </c>
      <c r="E44" s="433" t="e">
        <f>SUMIFS(#REF!,#REF!,B44,#REF!,Details!$D$61)</f>
        <v>#REF!</v>
      </c>
      <c r="F44" s="105">
        <f>SUMIFS(Table2[D. Patients on the hypertension register],Table2[OrgID],$C44,Table2[Rel_D],$B$10)</f>
        <v>1822</v>
      </c>
      <c r="G44" s="83">
        <f>SUMIFS(Table2[15 On target],Table2[OrgID],$C44,Table2[Rel_D],$B$10)</f>
        <v>1012</v>
      </c>
      <c r="H44" s="84">
        <f t="shared" si="0"/>
        <v>0.55543358946212951</v>
      </c>
      <c r="I44" s="334">
        <v>0.5</v>
      </c>
      <c r="J44" s="83">
        <f>SUMIFS(Table2[Off target],Table2[OrgID],$C44,Table2[Rel_D],$B$10)</f>
        <v>810</v>
      </c>
      <c r="K44" s="83">
        <f>SUMIFS(Table2[12 Off target, with clinical review (2)],Table2[OrgID],$C44,Table2[Rel_D],$B$10)</f>
        <v>341</v>
      </c>
      <c r="L44" s="84">
        <f t="shared" si="1"/>
        <v>0.42098765432098767</v>
      </c>
      <c r="M44" s="340">
        <v>0.25</v>
      </c>
    </row>
    <row r="45" spans="2:13" ht="15.75" thickBot="1">
      <c r="B45" s="75" t="s">
        <v>172</v>
      </c>
      <c r="C45" s="76" t="s">
        <v>90</v>
      </c>
      <c r="D45" s="455">
        <f>SUMIFS(Table2[All currently registered regular patients aged 18+],Table2[OrgID],C45,Table2[Rel_D],Details!$D$61)</f>
        <v>2900</v>
      </c>
      <c r="E45" s="435" t="e">
        <f>SUMIFS(#REF!,#REF!,B45,#REF!,Details!$D$61)</f>
        <v>#REF!</v>
      </c>
      <c r="F45" s="106">
        <f>SUMIFS(Table2[D. Patients on the hypertension register],Table2[OrgID],$C45,Table2[Rel_D],$B$10)</f>
        <v>337</v>
      </c>
      <c r="G45" s="85">
        <f>SUMIFS(Table2[15 On target],Table2[OrgID],$C45,Table2[Rel_D],$B$10)</f>
        <v>195</v>
      </c>
      <c r="H45" s="86">
        <f t="shared" si="0"/>
        <v>0.57863501483679525</v>
      </c>
      <c r="I45" s="335">
        <v>0.5</v>
      </c>
      <c r="J45" s="85">
        <f>SUMIFS(Table2[Off target],Table2[OrgID],$C45,Table2[Rel_D],$B$10)</f>
        <v>142</v>
      </c>
      <c r="K45" s="85">
        <f>SUMIFS(Table2[12 Off target, with clinical review (2)],Table2[OrgID],$C45,Table2[Rel_D],$B$10)</f>
        <v>46</v>
      </c>
      <c r="L45" s="86">
        <f t="shared" si="1"/>
        <v>0.323943661971831</v>
      </c>
      <c r="M45" s="341">
        <v>0.25</v>
      </c>
    </row>
    <row r="46" spans="2:13" ht="15.75" thickBot="1">
      <c r="B46" s="17" t="s">
        <v>173</v>
      </c>
      <c r="C46" s="18" t="s">
        <v>91</v>
      </c>
      <c r="D46" s="447">
        <f t="shared" ref="D46:E46" si="15">SUM(D40:D45)</f>
        <v>29576</v>
      </c>
      <c r="E46" s="448" t="e">
        <f t="shared" si="15"/>
        <v>#REF!</v>
      </c>
      <c r="F46" s="137">
        <f>SUM(F40:F45)</f>
        <v>4167</v>
      </c>
      <c r="G46" s="138">
        <f>SUM(G40:G45)</f>
        <v>2209</v>
      </c>
      <c r="H46" s="139">
        <f t="shared" si="0"/>
        <v>0.53011759059275254</v>
      </c>
      <c r="I46" s="139">
        <v>0.5</v>
      </c>
      <c r="J46" s="138">
        <f>SUM(J40:J45)</f>
        <v>1958</v>
      </c>
      <c r="K46" s="138">
        <f>SUM(K40:K45)</f>
        <v>705</v>
      </c>
      <c r="L46" s="139">
        <f t="shared" si="1"/>
        <v>0.36006128702757917</v>
      </c>
      <c r="M46" s="306">
        <v>0.25</v>
      </c>
    </row>
    <row r="47" spans="2:13">
      <c r="B47" s="77" t="s">
        <v>174</v>
      </c>
      <c r="C47" s="78" t="s">
        <v>92</v>
      </c>
      <c r="D47" s="449">
        <f>SUMIFS(Table2[All currently registered regular patients aged 18+],Table2[OrgID],C47,Table2[Rel_D],Details!$D$61)</f>
        <v>11854</v>
      </c>
      <c r="E47" s="431" t="e">
        <f>SUMIFS(#REF!,#REF!,B47,#REF!,Details!$D$61)</f>
        <v>#REF!</v>
      </c>
      <c r="F47" s="107">
        <f>SUMIFS(Table2[D. Patients on the hypertension register],Table2[OrgID],$C47,Table2[Rel_D],$B$10)</f>
        <v>1311</v>
      </c>
      <c r="G47" s="87">
        <f>SUMIFS(Table2[15 On target],Table2[OrgID],$C47,Table2[Rel_D],$B$10)</f>
        <v>653</v>
      </c>
      <c r="H47" s="88">
        <f t="shared" si="0"/>
        <v>0.49809305873379101</v>
      </c>
      <c r="I47" s="337">
        <v>0.5</v>
      </c>
      <c r="J47" s="87">
        <f>SUMIFS(Table2[Off target],Table2[OrgID],$C47,Table2[Rel_D],$B$10)</f>
        <v>658</v>
      </c>
      <c r="K47" s="87">
        <f>SUMIFS(Table2[12 Off target, with clinical review (2)],Table2[OrgID],$C47,Table2[Rel_D],$B$10)</f>
        <v>234</v>
      </c>
      <c r="L47" s="88">
        <f t="shared" si="1"/>
        <v>0.35562310030395139</v>
      </c>
      <c r="M47" s="342">
        <v>0.25</v>
      </c>
    </row>
    <row r="48" spans="2:13">
      <c r="B48" s="73" t="s">
        <v>175</v>
      </c>
      <c r="C48" s="74" t="s">
        <v>93</v>
      </c>
      <c r="D48" s="450">
        <f>SUMIFS(Table2[All currently registered regular patients aged 18+],Table2[OrgID],C48,Table2[Rel_D],Details!$D$61)</f>
        <v>2159</v>
      </c>
      <c r="E48" s="433" t="e">
        <f>SUMIFS(#REF!,#REF!,B48,#REF!,Details!$D$61)</f>
        <v>#REF!</v>
      </c>
      <c r="F48" s="105">
        <f>SUMIFS(Table2[D. Patients on the hypertension register],Table2[OrgID],$C48,Table2[Rel_D],$B$10)</f>
        <v>369</v>
      </c>
      <c r="G48" s="83">
        <f>SUMIFS(Table2[15 On target],Table2[OrgID],$C48,Table2[Rel_D],$B$10)</f>
        <v>163</v>
      </c>
      <c r="H48" s="84">
        <f t="shared" si="0"/>
        <v>0.44173441734417346</v>
      </c>
      <c r="I48" s="334">
        <v>0.5</v>
      </c>
      <c r="J48" s="83">
        <f>SUMIFS(Table2[Off target],Table2[OrgID],$C48,Table2[Rel_D],$B$10)</f>
        <v>206</v>
      </c>
      <c r="K48" s="83">
        <f>SUMIFS(Table2[12 Off target, with clinical review (2)],Table2[OrgID],$C48,Table2[Rel_D],$B$10)</f>
        <v>61</v>
      </c>
      <c r="L48" s="84">
        <f t="shared" si="1"/>
        <v>0.29611650485436891</v>
      </c>
      <c r="M48" s="340">
        <v>0.25</v>
      </c>
    </row>
    <row r="49" spans="2:13">
      <c r="B49" s="73" t="s">
        <v>226</v>
      </c>
      <c r="C49" s="74" t="s">
        <v>94</v>
      </c>
      <c r="D49" s="450">
        <f>SUMIFS(Table2[All currently registered regular patients aged 18+],Table2[OrgID],C49,Table2[Rel_D],Details!$D$61)</f>
        <v>6202</v>
      </c>
      <c r="E49" s="433" t="e">
        <f>SUMIFS(#REF!,#REF!,B49,#REF!,Details!$D$61)</f>
        <v>#REF!</v>
      </c>
      <c r="F49" s="105">
        <f>SUMIFS(Table2[D. Patients on the hypertension register],Table2[OrgID],$C49,Table2[Rel_D],$B$10)</f>
        <v>895</v>
      </c>
      <c r="G49" s="83">
        <f>SUMIFS(Table2[15 On target],Table2[OrgID],$C49,Table2[Rel_D],$B$10)</f>
        <v>477</v>
      </c>
      <c r="H49" s="84">
        <f t="shared" si="0"/>
        <v>0.53296089385474865</v>
      </c>
      <c r="I49" s="334">
        <v>0.5</v>
      </c>
      <c r="J49" s="83">
        <f>SUMIFS(Table2[Off target],Table2[OrgID],$C49,Table2[Rel_D],$B$10)</f>
        <v>418</v>
      </c>
      <c r="K49" s="83">
        <f>SUMIFS(Table2[12 Off target, with clinical review (2)],Table2[OrgID],$C49,Table2[Rel_D],$B$10)</f>
        <v>141</v>
      </c>
      <c r="L49" s="84">
        <f t="shared" si="1"/>
        <v>0.33732057416267941</v>
      </c>
      <c r="M49" s="340">
        <v>0.25</v>
      </c>
    </row>
    <row r="50" spans="2:13">
      <c r="B50" s="73" t="s">
        <v>177</v>
      </c>
      <c r="C50" s="74" t="s">
        <v>95</v>
      </c>
      <c r="D50" s="450">
        <f>SUMIFS(Table2[All currently registered regular patients aged 18+],Table2[OrgID],C50,Table2[Rel_D],Details!$D$61)</f>
        <v>4578</v>
      </c>
      <c r="E50" s="433" t="e">
        <f>SUMIFS(#REF!,#REF!,B50,#REF!,Details!$D$61)</f>
        <v>#REF!</v>
      </c>
      <c r="F50" s="105">
        <f>SUMIFS(Table2[D. Patients on the hypertension register],Table2[OrgID],$C50,Table2[Rel_D],$B$10)</f>
        <v>500</v>
      </c>
      <c r="G50" s="83">
        <f>SUMIFS(Table2[15 On target],Table2[OrgID],$C50,Table2[Rel_D],$B$10)</f>
        <v>222</v>
      </c>
      <c r="H50" s="84">
        <f t="shared" si="0"/>
        <v>0.44400000000000001</v>
      </c>
      <c r="I50" s="334">
        <v>0.5</v>
      </c>
      <c r="J50" s="83">
        <f>SUMIFS(Table2[Off target],Table2[OrgID],$C50,Table2[Rel_D],$B$10)</f>
        <v>278</v>
      </c>
      <c r="K50" s="83">
        <f>SUMIFS(Table2[12 Off target, with clinical review (2)],Table2[OrgID],$C50,Table2[Rel_D],$B$10)</f>
        <v>39</v>
      </c>
      <c r="L50" s="84">
        <f t="shared" si="1"/>
        <v>0.14028776978417265</v>
      </c>
      <c r="M50" s="340">
        <v>0.25</v>
      </c>
    </row>
    <row r="51" spans="2:13" ht="15.75" thickBot="1">
      <c r="B51" s="75" t="s">
        <v>178</v>
      </c>
      <c r="C51" s="76" t="s">
        <v>96</v>
      </c>
      <c r="D51" s="455">
        <f>SUMIFS(Table2[All currently registered regular patients aged 18+],Table2[OrgID],C51,Table2[Rel_D],Details!$D$61)</f>
        <v>7066</v>
      </c>
      <c r="E51" s="435" t="e">
        <f>SUMIFS(#REF!,#REF!,B51,#REF!,Details!$D$61)</f>
        <v>#REF!</v>
      </c>
      <c r="F51" s="106">
        <f>SUMIFS(Table2[D. Patients on the hypertension register],Table2[OrgID],$C51,Table2[Rel_D],$B$10)</f>
        <v>1096</v>
      </c>
      <c r="G51" s="85">
        <f>SUMIFS(Table2[15 On target],Table2[OrgID],$C51,Table2[Rel_D],$B$10)</f>
        <v>488</v>
      </c>
      <c r="H51" s="86">
        <f t="shared" si="0"/>
        <v>0.44525547445255476</v>
      </c>
      <c r="I51" s="335">
        <v>0.5</v>
      </c>
      <c r="J51" s="85">
        <f>SUMIFS(Table2[Off target],Table2[OrgID],$C51,Table2[Rel_D],$B$10)</f>
        <v>608</v>
      </c>
      <c r="K51" s="85">
        <f>SUMIFS(Table2[12 Off target, with clinical review (2)],Table2[OrgID],$C51,Table2[Rel_D],$B$10)</f>
        <v>126</v>
      </c>
      <c r="L51" s="86">
        <f t="shared" si="1"/>
        <v>0.20723684210526316</v>
      </c>
      <c r="M51" s="341">
        <v>0.25</v>
      </c>
    </row>
    <row r="52" spans="2:13" ht="15.75" thickBot="1">
      <c r="B52" s="17" t="s">
        <v>179</v>
      </c>
      <c r="C52" s="18" t="s">
        <v>97</v>
      </c>
      <c r="D52" s="447">
        <f t="shared" ref="D52:E52" si="16">SUM(D47:D51)</f>
        <v>31859</v>
      </c>
      <c r="E52" s="448" t="e">
        <f t="shared" si="16"/>
        <v>#REF!</v>
      </c>
      <c r="F52" s="137">
        <f>SUM(F47:F51)</f>
        <v>4171</v>
      </c>
      <c r="G52" s="138">
        <f>SUM(G47:G51)</f>
        <v>2003</v>
      </c>
      <c r="H52" s="139">
        <f t="shared" si="0"/>
        <v>0.48022057060656914</v>
      </c>
      <c r="I52" s="139">
        <v>0.5</v>
      </c>
      <c r="J52" s="138">
        <f>SUM(J47:J51)</f>
        <v>2168</v>
      </c>
      <c r="K52" s="138">
        <f>SUM(K47:K51)</f>
        <v>601</v>
      </c>
      <c r="L52" s="139">
        <f t="shared" si="1"/>
        <v>0.27721402214022139</v>
      </c>
      <c r="M52" s="306">
        <v>0.25</v>
      </c>
    </row>
    <row r="53" spans="2:13">
      <c r="B53" s="77" t="s">
        <v>180</v>
      </c>
      <c r="C53" s="79" t="s">
        <v>98</v>
      </c>
      <c r="D53" s="449">
        <f>SUMIFS(Table2[All currently registered regular patients aged 18+],Table2[OrgID],C53,Table2[Rel_D],Details!$D$61)</f>
        <v>5360</v>
      </c>
      <c r="E53" s="431" t="e">
        <f>SUMIFS(#REF!,#REF!,B53,#REF!,Details!$D$61)</f>
        <v>#REF!</v>
      </c>
      <c r="F53" s="110">
        <f>SUMIFS(Table2[D. Patients on the hypertension register],Table2[OrgID],$C53,Table2[Rel_D],$B$10)</f>
        <v>850</v>
      </c>
      <c r="G53" s="91">
        <f>SUMIFS(Table2[15 On target],Table2[OrgID],$C53,Table2[Rel_D],$B$10)</f>
        <v>355</v>
      </c>
      <c r="H53" s="92">
        <f t="shared" si="0"/>
        <v>0.41764705882352943</v>
      </c>
      <c r="I53" s="338">
        <v>0.5</v>
      </c>
      <c r="J53" s="91">
        <f>SUMIFS(Table2[Off target],Table2[OrgID],$C53,Table2[Rel_D],$B$10)</f>
        <v>495</v>
      </c>
      <c r="K53" s="91">
        <f>SUMIFS(Table2[12 Off target, with clinical review (2)],Table2[OrgID],$C53,Table2[Rel_D],$B$10)</f>
        <v>194</v>
      </c>
      <c r="L53" s="92">
        <f t="shared" si="1"/>
        <v>0.39191919191919194</v>
      </c>
      <c r="M53" s="343">
        <v>0.25</v>
      </c>
    </row>
    <row r="54" spans="2:13">
      <c r="B54" s="73" t="s">
        <v>221</v>
      </c>
      <c r="C54" s="74" t="s">
        <v>99</v>
      </c>
      <c r="D54" s="450">
        <f>SUMIFS(Table2[All currently registered regular patients aged 18+],Table2[OrgID],C54,Table2[Rel_D],Details!$D$61)</f>
        <v>6306</v>
      </c>
      <c r="E54" s="433" t="e">
        <f>SUMIFS(#REF!,#REF!,B54,#REF!,Details!$D$61)</f>
        <v>#REF!</v>
      </c>
      <c r="F54" s="105">
        <f>SUMIFS(Table2[D. Patients on the hypertension register],Table2[OrgID],$C54,Table2[Rel_D],$B$10)</f>
        <v>739</v>
      </c>
      <c r="G54" s="83">
        <f>SUMIFS(Table2[15 On target],Table2[OrgID],$C54,Table2[Rel_D],$B$10)</f>
        <v>544</v>
      </c>
      <c r="H54" s="84">
        <f t="shared" si="0"/>
        <v>0.73612990527740185</v>
      </c>
      <c r="I54" s="334">
        <v>0.5</v>
      </c>
      <c r="J54" s="83">
        <f>SUMIFS(Table2[Off target],Table2[OrgID],$C54,Table2[Rel_D],$B$10)</f>
        <v>195</v>
      </c>
      <c r="K54" s="83">
        <f>SUMIFS(Table2[12 Off target, with clinical review (2)],Table2[OrgID],$C54,Table2[Rel_D],$B$10)</f>
        <v>89</v>
      </c>
      <c r="L54" s="84">
        <f t="shared" si="1"/>
        <v>0.4564102564102564</v>
      </c>
      <c r="M54" s="340">
        <v>0.25</v>
      </c>
    </row>
    <row r="55" spans="2:13">
      <c r="B55" s="73" t="s">
        <v>182</v>
      </c>
      <c r="C55" s="74" t="s">
        <v>100</v>
      </c>
      <c r="D55" s="450">
        <f>SUMIFS(Table2[All currently registered regular patients aged 18+],Table2[OrgID],C55,Table2[Rel_D],Details!$D$61)</f>
        <v>5695</v>
      </c>
      <c r="E55" s="433" t="e">
        <f>SUMIFS(#REF!,#REF!,B55,#REF!,Details!$D$61)</f>
        <v>#REF!</v>
      </c>
      <c r="F55" s="105">
        <f>SUMIFS(Table2[D. Patients on the hypertension register],Table2[OrgID],$C55,Table2[Rel_D],$B$10)</f>
        <v>804</v>
      </c>
      <c r="G55" s="83">
        <f>SUMIFS(Table2[15 On target],Table2[OrgID],$C55,Table2[Rel_D],$B$10)</f>
        <v>332</v>
      </c>
      <c r="H55" s="84">
        <f t="shared" si="0"/>
        <v>0.41293532338308458</v>
      </c>
      <c r="I55" s="334">
        <v>0.5</v>
      </c>
      <c r="J55" s="83">
        <f>SUMIFS(Table2[Off target],Table2[OrgID],$C55,Table2[Rel_D],$B$10)</f>
        <v>472</v>
      </c>
      <c r="K55" s="83">
        <f>SUMIFS(Table2[12 Off target, with clinical review (2)],Table2[OrgID],$C55,Table2[Rel_D],$B$10)</f>
        <v>94</v>
      </c>
      <c r="L55" s="84">
        <f t="shared" si="1"/>
        <v>0.19915254237288135</v>
      </c>
      <c r="M55" s="340">
        <v>0.25</v>
      </c>
    </row>
    <row r="56" spans="2:13">
      <c r="B56" s="73" t="s">
        <v>183</v>
      </c>
      <c r="C56" s="74" t="s">
        <v>101</v>
      </c>
      <c r="D56" s="450">
        <f>SUMIFS(Table2[All currently registered regular patients aged 18+],Table2[OrgID],C56,Table2[Rel_D],Details!$D$61)</f>
        <v>4725</v>
      </c>
      <c r="E56" s="456" t="e">
        <f>SUMIFS(#REF!,#REF!,B56,#REF!,Details!$D$61)</f>
        <v>#REF!</v>
      </c>
      <c r="F56" s="105">
        <f>SUMIFS(Table2[D. Patients on the hypertension register],Table2[OrgID],$C56,Table2[Rel_D],$B$10)</f>
        <v>463</v>
      </c>
      <c r="G56" s="83">
        <f>SUMIFS(Table2[15 On target],Table2[OrgID],$C56,Table2[Rel_D],$B$10)</f>
        <v>290</v>
      </c>
      <c r="H56" s="84">
        <f t="shared" si="0"/>
        <v>0.62634989200863933</v>
      </c>
      <c r="I56" s="334">
        <v>0.5</v>
      </c>
      <c r="J56" s="83">
        <f>SUMIFS(Table2[Off target],Table2[OrgID],$C56,Table2[Rel_D],$B$10)</f>
        <v>173</v>
      </c>
      <c r="K56" s="83">
        <f>SUMIFS(Table2[12 Off target, with clinical review (2)],Table2[OrgID],$C56,Table2[Rel_D],$B$10)</f>
        <v>36</v>
      </c>
      <c r="L56" s="84">
        <f t="shared" si="1"/>
        <v>0.20809248554913296</v>
      </c>
      <c r="M56" s="340">
        <v>0.25</v>
      </c>
    </row>
    <row r="57" spans="2:13" ht="15.75" thickBot="1">
      <c r="B57" s="75" t="s">
        <v>184</v>
      </c>
      <c r="C57" s="76" t="s">
        <v>102</v>
      </c>
      <c r="D57" s="455">
        <f>SUMIFS(Table2[All currently registered regular patients aged 18+],Table2[OrgID],C57,Table2[Rel_D],Details!$D$61)</f>
        <v>12833</v>
      </c>
      <c r="E57" s="435" t="e">
        <f>SUMIFS(#REF!,#REF!,B57,#REF!,Details!$D$61)</f>
        <v>#REF!</v>
      </c>
      <c r="F57" s="106">
        <f>SUMIFS(Table2[D. Patients on the hypertension register],Table2[OrgID],$C57,Table2[Rel_D],$B$10)</f>
        <v>1473</v>
      </c>
      <c r="G57" s="85">
        <f>SUMIFS(Table2[15 On target],Table2[OrgID],$C57,Table2[Rel_D],$B$10)</f>
        <v>918</v>
      </c>
      <c r="H57" s="86">
        <f t="shared" si="0"/>
        <v>0.62321792260692466</v>
      </c>
      <c r="I57" s="335">
        <v>0.5</v>
      </c>
      <c r="J57" s="85">
        <f>SUMIFS(Table2[Off target],Table2[OrgID],$C57,Table2[Rel_D],$B$10)</f>
        <v>555</v>
      </c>
      <c r="K57" s="85">
        <f>SUMIFS(Table2[12 Off target, with clinical review (2)],Table2[OrgID],$C57,Table2[Rel_D],$B$10)</f>
        <v>197</v>
      </c>
      <c r="L57" s="86">
        <f t="shared" si="1"/>
        <v>0.35495495495495494</v>
      </c>
      <c r="M57" s="341">
        <v>0.25</v>
      </c>
    </row>
    <row r="58" spans="2:13" ht="15.75" thickBot="1">
      <c r="B58" s="17" t="s">
        <v>185</v>
      </c>
      <c r="C58" s="18" t="s">
        <v>103</v>
      </c>
      <c r="D58" s="447">
        <f t="shared" ref="D58:E58" si="17">SUM(D53:D57)</f>
        <v>34919</v>
      </c>
      <c r="E58" s="448" t="e">
        <f t="shared" si="17"/>
        <v>#REF!</v>
      </c>
      <c r="F58" s="140">
        <f>SUM(F53:F57)</f>
        <v>4329</v>
      </c>
      <c r="G58" s="141">
        <f>SUM(G53:G57)</f>
        <v>2439</v>
      </c>
      <c r="H58" s="142">
        <f t="shared" si="0"/>
        <v>0.56340956340956339</v>
      </c>
      <c r="I58" s="142">
        <v>0.5</v>
      </c>
      <c r="J58" s="141">
        <f>SUM(J53:J57)</f>
        <v>1890</v>
      </c>
      <c r="K58" s="141">
        <f>SUM(K53:K57)</f>
        <v>610</v>
      </c>
      <c r="L58" s="142">
        <f t="shared" si="1"/>
        <v>0.32275132275132273</v>
      </c>
      <c r="M58" s="307">
        <v>0.25</v>
      </c>
    </row>
    <row r="59" spans="2:13" ht="19.5" thickBot="1">
      <c r="B59" s="146" t="s">
        <v>186</v>
      </c>
      <c r="C59" s="147" t="s">
        <v>37</v>
      </c>
      <c r="D59" s="457">
        <f>SUM(D58,D52,D46,D39,D31,D27,D21)</f>
        <v>253124</v>
      </c>
      <c r="E59" s="458"/>
      <c r="F59" s="153">
        <f>SUM(F58,F52,F46,F39,F31,F27,F21)</f>
        <v>34654</v>
      </c>
      <c r="G59" s="154">
        <f>SUM(G58,G52,G46,G39,G31,G27,G21)</f>
        <v>17479</v>
      </c>
      <c r="H59" s="155">
        <f t="shared" si="0"/>
        <v>0.50438621804120731</v>
      </c>
      <c r="I59" s="155">
        <v>0.5</v>
      </c>
      <c r="J59" s="154">
        <f>SUM(J58,J52,J46,J39,J31,J27,J21)</f>
        <v>17175</v>
      </c>
      <c r="K59" s="154">
        <f>SUM(K58,K52,K46,K39,K31,K27,K21)</f>
        <v>6528</v>
      </c>
      <c r="L59" s="155">
        <f t="shared" si="1"/>
        <v>0.3800873362445415</v>
      </c>
      <c r="M59" s="308">
        <v>0.25</v>
      </c>
    </row>
  </sheetData>
  <mergeCells count="51">
    <mergeCell ref="D58:E58"/>
    <mergeCell ref="D59:E59"/>
    <mergeCell ref="F10:L10"/>
    <mergeCell ref="G12:H12"/>
    <mergeCell ref="D55:E55"/>
    <mergeCell ref="D56:E56"/>
    <mergeCell ref="D57:E57"/>
    <mergeCell ref="D52:E52"/>
    <mergeCell ref="D53:E53"/>
    <mergeCell ref="D54:E54"/>
    <mergeCell ref="D49:E49"/>
    <mergeCell ref="D50:E50"/>
    <mergeCell ref="D51:E51"/>
    <mergeCell ref="D46:E46"/>
    <mergeCell ref="D47:E47"/>
    <mergeCell ref="D48:E48"/>
    <mergeCell ref="D43:E43"/>
    <mergeCell ref="D44:E44"/>
    <mergeCell ref="D45:E45"/>
    <mergeCell ref="D40:E40"/>
    <mergeCell ref="D41:E41"/>
    <mergeCell ref="D42:E42"/>
    <mergeCell ref="D37:E37"/>
    <mergeCell ref="D38:E38"/>
    <mergeCell ref="D39:E39"/>
    <mergeCell ref="D34:E34"/>
    <mergeCell ref="D35:E35"/>
    <mergeCell ref="D36:E36"/>
    <mergeCell ref="D31:E31"/>
    <mergeCell ref="D32:E32"/>
    <mergeCell ref="D33:E33"/>
    <mergeCell ref="D28:E28"/>
    <mergeCell ref="D29:E29"/>
    <mergeCell ref="D30:E30"/>
    <mergeCell ref="D25:E25"/>
    <mergeCell ref="D26:E26"/>
    <mergeCell ref="D27:E27"/>
    <mergeCell ref="D22:E22"/>
    <mergeCell ref="D23:E23"/>
    <mergeCell ref="D24:E24"/>
    <mergeCell ref="D19:E19"/>
    <mergeCell ref="D20:E20"/>
    <mergeCell ref="D21:E21"/>
    <mergeCell ref="D16:E16"/>
    <mergeCell ref="D17:E17"/>
    <mergeCell ref="D18:E18"/>
    <mergeCell ref="D13:E13"/>
    <mergeCell ref="D14:E14"/>
    <mergeCell ref="D15:E15"/>
    <mergeCell ref="D12:E12"/>
    <mergeCell ref="K12:L12"/>
  </mergeCells>
  <pageMargins left="0.7" right="0.7" top="0.75" bottom="0.75" header="0.3" footer="0.3"/>
  <drawing r:id="rId1"/>
  <legacyDrawing r:id="rId2"/>
  <controls>
    <mc:AlternateContent xmlns:mc="http://schemas.openxmlformats.org/markup-compatibility/2006">
      <mc:Choice Requires="x14">
        <control shapeId="21505" r:id="rId3" name="ComboBox1">
          <controlPr defaultSize="0" autoLine="0" linkedCell="Control!E5" listFillRange="Control!B2:C14" r:id="rId4">
            <anchor moveWithCells="1">
              <from>
                <xdr:col>4</xdr:col>
                <xdr:colOff>657225</xdr:colOff>
                <xdr:row>0</xdr:row>
                <xdr:rowOff>76200</xdr:rowOff>
              </from>
              <to>
                <xdr:col>5</xdr:col>
                <xdr:colOff>819150</xdr:colOff>
                <xdr:row>1</xdr:row>
                <xdr:rowOff>161925</xdr:rowOff>
              </to>
            </anchor>
          </controlPr>
        </control>
      </mc:Choice>
      <mc:Fallback>
        <control shapeId="21505" r:id="rId3" name="ComboBox1"/>
      </mc:Fallback>
    </mc:AlternateContent>
  </controls>
  <extLst>
    <ext xmlns:x14="http://schemas.microsoft.com/office/spreadsheetml/2009/9/main" uri="{78C0D931-6437-407d-A8EE-F0AAD7539E65}">
      <x14:conditionalFormattings>
        <x14:conditionalFormatting xmlns:xm="http://schemas.microsoft.com/office/excel/2006/main">
          <x14:cfRule type="iconSet" priority="2" id="{827A4BCE-7AE5-41A5-AA6C-307F13C06882}">
            <x14:iconSet custom="1">
              <x14:cfvo type="percent">
                <xm:f>0</xm:f>
              </x14:cfvo>
              <x14:cfvo type="num">
                <xm:f>0</xm:f>
              </x14:cfvo>
              <x14:cfvo type="num">
                <xm:f>0.5</xm:f>
              </x14:cfvo>
              <x14:cfIcon iconSet="NoIcons" iconId="0"/>
              <x14:cfIcon iconSet="3TrafficLights1" iconId="0"/>
              <x14:cfIcon iconSet="3TrafficLights1" iconId="2"/>
            </x14:iconSet>
          </x14:cfRule>
          <xm:sqref>H40:H45 H47:H51 H53:H57 H13:H20 H22:H26 H28:H30 H32:H38</xm:sqref>
        </x14:conditionalFormatting>
        <x14:conditionalFormatting xmlns:xm="http://schemas.microsoft.com/office/excel/2006/main">
          <x14:cfRule type="iconSet" priority="1" id="{007CB448-2E2F-481E-88D1-E913BCD6E8D0}">
            <x14:iconSet custom="1">
              <x14:cfvo type="percent">
                <xm:f>0</xm:f>
              </x14:cfvo>
              <x14:cfvo type="num">
                <xm:f>0</xm:f>
              </x14:cfvo>
              <x14:cfvo type="num">
                <xm:f>0.25</xm:f>
              </x14:cfvo>
              <x14:cfIcon iconSet="NoIcons" iconId="0"/>
              <x14:cfIcon iconSet="3TrafficLights1" iconId="0"/>
              <x14:cfIcon iconSet="3TrafficLights1" iconId="2"/>
            </x14:iconSet>
          </x14:cfRule>
          <xm:sqref>L40:L45 L47:L51 L53:L57 L13:L20 L22:L26 L28:L30 L32:L38</xm:sqref>
        </x14:conditionalFormatting>
      </x14:conditionalFormattings>
    </ext>
    <ext xmlns:x14="http://schemas.microsoft.com/office/spreadsheetml/2009/9/main" uri="{A8765BA9-456A-4dab-B4F3-ACF838C121DE}">
      <x14:slicerList>
        <x14:slicer r:id="rId5"/>
      </x14:slicerList>
    </ext>
  </extLs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A03E68-8EF0-4CDF-8D02-ADFB210D44B1}">
  <sheetPr codeName="Sheet7"/>
  <dimension ref="B2:O59"/>
  <sheetViews>
    <sheetView showGridLines="0" zoomScale="90" zoomScaleNormal="90" workbookViewId="0">
      <pane ySplit="2" topLeftCell="A3" activePane="bottomLeft" state="frozen"/>
      <selection pane="bottomLeft" activeCell="K7" sqref="K7"/>
    </sheetView>
  </sheetViews>
  <sheetFormatPr defaultRowHeight="15"/>
  <cols>
    <col min="1" max="1" width="1.5703125" customWidth="1"/>
    <col min="2" max="2" width="52.7109375" bestFit="1" customWidth="1"/>
    <col min="4" max="4" width="15.28515625" customWidth="1"/>
    <col min="5" max="5" width="16.140625" customWidth="1"/>
    <col min="6" max="6" width="26.7109375" customWidth="1"/>
    <col min="7" max="7" width="19.7109375" customWidth="1"/>
    <col min="8" max="8" width="15.5703125" customWidth="1"/>
    <col min="9" max="9" width="21.7109375" customWidth="1"/>
  </cols>
  <sheetData>
    <row r="2" spans="2:15" ht="15.75">
      <c r="G2" s="285"/>
    </row>
    <row r="3" spans="2:15" ht="20.25" customHeight="1"/>
    <row r="4" spans="2:15" ht="38.25" customHeight="1"/>
    <row r="5" spans="2:15" ht="38.25" customHeight="1"/>
    <row r="6" spans="2:15" ht="38.25" customHeight="1"/>
    <row r="7" spans="2:15" ht="38.25" customHeight="1"/>
    <row r="8" spans="2:15" ht="38.25" customHeight="1"/>
    <row r="9" spans="2:15" ht="38.25" customHeight="1"/>
    <row r="10" spans="2:15" ht="16.5" thickBot="1">
      <c r="B10" s="392" t="str">
        <f>Control!F2</f>
        <v>01/04/2022</v>
      </c>
      <c r="F10" s="265" t="s">
        <v>109</v>
      </c>
      <c r="G10" s="112"/>
      <c r="H10" s="112"/>
      <c r="I10" s="362"/>
    </row>
    <row r="11" spans="2:15" ht="16.5" thickBot="1">
      <c r="F11" s="332"/>
      <c r="G11" s="219"/>
      <c r="H11" s="219"/>
      <c r="I11" s="361"/>
    </row>
    <row r="12" spans="2:15" ht="102.75" customHeight="1" thickBot="1">
      <c r="B12" s="13" t="s">
        <v>113</v>
      </c>
      <c r="C12" s="14" t="s">
        <v>114</v>
      </c>
      <c r="D12" s="495" t="s">
        <v>115</v>
      </c>
      <c r="E12" s="496"/>
      <c r="F12" s="331" t="s">
        <v>109</v>
      </c>
      <c r="G12" s="463" t="s">
        <v>136</v>
      </c>
      <c r="H12" s="464"/>
      <c r="I12" s="278" t="s">
        <v>235</v>
      </c>
    </row>
    <row r="13" spans="2:15" ht="15" customHeight="1">
      <c r="B13" s="71" t="s">
        <v>141</v>
      </c>
      <c r="C13" s="72" t="s">
        <v>52</v>
      </c>
      <c r="D13" s="449">
        <f>SUMIFS(Table2[All currently registered regular patients aged 18+],Table2[OrgID],C13,Table2[Rel_D],Details!$D$61)</f>
        <v>3093</v>
      </c>
      <c r="E13" s="497" t="e">
        <f>SUMIFS(#REF!,#REF!,B13,#REF!,Details!$D$61)</f>
        <v>#REF!</v>
      </c>
      <c r="F13" s="321">
        <f>SUMIFS(Table2[E. Patients on the CHD or Stroke/TIA or PAD register],Table2[OrgID],$C13,Table2[Rel_D],$B$10)</f>
        <v>207</v>
      </c>
      <c r="G13" s="99">
        <f>SUMIFS(Table2[13 Secondary prevention statins prescribed or offered in last 12m],Table2[OrgID],$C13,Table2[Rel_D],$B$10)</f>
        <v>70</v>
      </c>
      <c r="H13" s="111">
        <f>IFERROR(G13/F13, "-")</f>
        <v>0.33816425120772947</v>
      </c>
      <c r="I13" s="344">
        <v>0.49</v>
      </c>
      <c r="J13" s="5"/>
      <c r="K13" s="5"/>
      <c r="L13" s="5"/>
      <c r="M13" s="5"/>
      <c r="N13" s="285"/>
    </row>
    <row r="14" spans="2:15" ht="15" customHeight="1">
      <c r="B14" s="73" t="s">
        <v>142</v>
      </c>
      <c r="C14" s="74" t="s">
        <v>54</v>
      </c>
      <c r="D14" s="450">
        <f>SUMIFS(Table2[All currently registered regular patients aged 18+],Table2[OrgID],C14,Table2[Rel_D],Details!$D$61)</f>
        <v>6563</v>
      </c>
      <c r="E14" s="456" t="e">
        <f>SUMIFS(#REF!,#REF!,B14,#REF!,Details!$D$61)</f>
        <v>#REF!</v>
      </c>
      <c r="F14" s="322">
        <f>SUMIFS(Table2[E. Patients on the CHD or Stroke/TIA or PAD register],Table2[OrgID],$C14,Table2[Rel_D],$B$10)</f>
        <v>269</v>
      </c>
      <c r="G14" s="100">
        <f>SUMIFS(Table2[13 Secondary prevention statins prescribed or offered in last 12m],Table2[OrgID],$C14,Table2[Rel_D],$B$10)</f>
        <v>95</v>
      </c>
      <c r="H14" s="84">
        <f t="shared" ref="H14:H59" si="0">IFERROR(G14/F14, "-")</f>
        <v>0.35315985130111527</v>
      </c>
      <c r="I14" s="345">
        <v>0.49</v>
      </c>
      <c r="J14" s="5"/>
      <c r="K14" s="5"/>
      <c r="L14" s="5"/>
      <c r="M14" s="5"/>
      <c r="N14" s="5"/>
      <c r="O14" s="5"/>
    </row>
    <row r="15" spans="2:15" ht="15" customHeight="1">
      <c r="B15" s="73" t="s">
        <v>34</v>
      </c>
      <c r="C15" s="74" t="s">
        <v>57</v>
      </c>
      <c r="D15" s="450">
        <f>IF(COUNTIFS(Table2[OrgID],C15,Table2[Rel_D],Details!$D$61) =0,"-",SUMIFS(Table2[All currently registered regular patients aged 18+],Table2[OrgID],C15,Table2[Rel_D],Details!$D$61))</f>
        <v>4056</v>
      </c>
      <c r="E15" s="456" t="e">
        <f>SUMIFS(#REF!,#REF!,B15,#REF!,Details!$D$61)</f>
        <v>#REF!</v>
      </c>
      <c r="F15" s="322">
        <f>SUMIFS(Table2[E. Patients on the CHD or Stroke/TIA or PAD register],Table2[OrgID],$C15,Table2[Rel_D],$B$10)</f>
        <v>196</v>
      </c>
      <c r="G15" s="100">
        <f>SUMIFS(Table2[13 Secondary prevention statins prescribed or offered in last 12m],Table2[OrgID],$C15,Table2[Rel_D],$B$10)</f>
        <v>96</v>
      </c>
      <c r="H15" s="84">
        <f t="shared" si="0"/>
        <v>0.48979591836734693</v>
      </c>
      <c r="I15" s="345">
        <v>0.49</v>
      </c>
      <c r="J15" s="4"/>
      <c r="K15" s="4"/>
      <c r="L15" s="4"/>
      <c r="M15" s="4"/>
      <c r="N15" s="4"/>
      <c r="O15" s="4"/>
    </row>
    <row r="16" spans="2:15" ht="15" customHeight="1">
      <c r="B16" s="73" t="s">
        <v>224</v>
      </c>
      <c r="C16" s="74" t="s">
        <v>61</v>
      </c>
      <c r="D16" s="450">
        <f>SUMIFS(Table2[All currently registered regular patients aged 18+],Table2[OrgID],C16,Table2[Rel_D],Details!$D$61)</f>
        <v>7294</v>
      </c>
      <c r="E16" s="433" t="e">
        <f>SUMIFS(#REF!,#REF!,B16,#REF!,Details!$D$61)</f>
        <v>#REF!</v>
      </c>
      <c r="F16" s="322">
        <f>SUMIFS(Table2[E. Patients on the CHD or Stroke/TIA or PAD register],Table2[OrgID],$C16,Table2[Rel_D],$B$10)</f>
        <v>156</v>
      </c>
      <c r="G16" s="100">
        <f>SUMIFS(Table2[13 Secondary prevention statins prescribed or offered in last 12m],Table2[OrgID],$C16,Table2[Rel_D],$B$10)</f>
        <v>83</v>
      </c>
      <c r="H16" s="84">
        <f t="shared" si="0"/>
        <v>0.53205128205128205</v>
      </c>
      <c r="I16" s="345">
        <v>0.49</v>
      </c>
    </row>
    <row r="17" spans="2:9">
      <c r="B17" s="73" t="s">
        <v>144</v>
      </c>
      <c r="C17" s="74" t="s">
        <v>64</v>
      </c>
      <c r="D17" s="450">
        <f>SUMIFS(Table2[All currently registered regular patients aged 18+],Table2[OrgID],C17,Table2[Rel_D],Details!$D$61)</f>
        <v>5457</v>
      </c>
      <c r="E17" s="433" t="e">
        <f>SUMIFS(#REF!,#REF!,B17,#REF!,Details!$D$61)</f>
        <v>#REF!</v>
      </c>
      <c r="F17" s="322">
        <f>SUMIFS(Table2[E. Patients on the CHD or Stroke/TIA or PAD register],Table2[OrgID],$C17,Table2[Rel_D],$B$10)</f>
        <v>113</v>
      </c>
      <c r="G17" s="100">
        <f>SUMIFS(Table2[13 Secondary prevention statins prescribed or offered in last 12m],Table2[OrgID],$C17,Table2[Rel_D],$B$10)</f>
        <v>54</v>
      </c>
      <c r="H17" s="84">
        <f t="shared" si="0"/>
        <v>0.47787610619469029</v>
      </c>
      <c r="I17" s="345">
        <v>0.49</v>
      </c>
    </row>
    <row r="18" spans="2:9">
      <c r="B18" s="73" t="s">
        <v>145</v>
      </c>
      <c r="C18" s="74" t="s">
        <v>65</v>
      </c>
      <c r="D18" s="450">
        <f>SUMIFS(Table2[All currently registered regular patients aged 18+],Table2[OrgID],C18,Table2[Rel_D],Details!$D$61)</f>
        <v>4824</v>
      </c>
      <c r="E18" s="433" t="e">
        <f>SUMIFS(#REF!,#REF!,B18,#REF!,Details!$D$61)</f>
        <v>#REF!</v>
      </c>
      <c r="F18" s="322">
        <f>SUMIFS(Table2[E. Patients on the CHD or Stroke/TIA or PAD register],Table2[OrgID],$C18,Table2[Rel_D],$B$10)</f>
        <v>165</v>
      </c>
      <c r="G18" s="100">
        <f>SUMIFS(Table2[13 Secondary prevention statins prescribed or offered in last 12m],Table2[OrgID],$C18,Table2[Rel_D],$B$10)</f>
        <v>87</v>
      </c>
      <c r="H18" s="84">
        <f t="shared" si="0"/>
        <v>0.52727272727272723</v>
      </c>
      <c r="I18" s="345">
        <v>0.49</v>
      </c>
    </row>
    <row r="19" spans="2:9">
      <c r="B19" s="73" t="s">
        <v>146</v>
      </c>
      <c r="C19" s="74" t="s">
        <v>66</v>
      </c>
      <c r="D19" s="450">
        <f>SUMIFS(Table2[All currently registered regular patients aged 18+],Table2[OrgID],C19,Table2[Rel_D],Details!$D$61)</f>
        <v>3253</v>
      </c>
      <c r="E19" s="433" t="e">
        <f>SUMIFS(#REF!,#REF!,B19,#REF!,Details!$D$61)</f>
        <v>#REF!</v>
      </c>
      <c r="F19" s="322">
        <f>SUMIFS(Table2[E. Patients on the CHD or Stroke/TIA or PAD register],Table2[OrgID],$C19,Table2[Rel_D],$B$10)</f>
        <v>77</v>
      </c>
      <c r="G19" s="100">
        <f>SUMIFS(Table2[13 Secondary prevention statins prescribed or offered in last 12m],Table2[OrgID],$C19,Table2[Rel_D],$B$10)</f>
        <v>45</v>
      </c>
      <c r="H19" s="84">
        <f t="shared" si="0"/>
        <v>0.58441558441558439</v>
      </c>
      <c r="I19" s="345">
        <v>0.49</v>
      </c>
    </row>
    <row r="20" spans="2:9" ht="15.75" thickBot="1">
      <c r="B20" s="75" t="s">
        <v>147</v>
      </c>
      <c r="C20" s="76" t="s">
        <v>58</v>
      </c>
      <c r="D20" s="455">
        <f>IF(COUNTIFS(Table2[OrgID],C20,Table2[Rel_D],Details!$D$61) =0,"-",SUMIFS(Table2[All currently registered regular patients aged 18+],Table2[OrgID],C20,Table2[Rel_D],Details!$D$61))</f>
        <v>5585</v>
      </c>
      <c r="E20" s="435" t="e">
        <f>SUMIFS(#REF!,#REF!,B20,#REF!,Details!$D$61)</f>
        <v>#REF!</v>
      </c>
      <c r="F20" s="323">
        <f>SUMIFS(Table2[E. Patients on the CHD or Stroke/TIA or PAD register],Table2[OrgID],$C20,Table2[Rel_D],$B$10)</f>
        <v>212</v>
      </c>
      <c r="G20" s="191">
        <f>SUMIFS(Table2[13 Secondary prevention statins prescribed or offered in last 12m],Table2[OrgID],$C20,Table2[Rel_D],$B$10)</f>
        <v>104</v>
      </c>
      <c r="H20" s="84">
        <f t="shared" si="0"/>
        <v>0.49056603773584906</v>
      </c>
      <c r="I20" s="346">
        <v>0.49</v>
      </c>
    </row>
    <row r="21" spans="2:9" ht="15.75" thickBot="1">
      <c r="B21" s="17" t="s">
        <v>148</v>
      </c>
      <c r="C21" s="18" t="s">
        <v>67</v>
      </c>
      <c r="D21" s="447">
        <f t="shared" ref="D21:E21" si="1">SUM(D13:D20)</f>
        <v>40125</v>
      </c>
      <c r="E21" s="448" t="e">
        <f t="shared" si="1"/>
        <v>#REF!</v>
      </c>
      <c r="F21" s="324">
        <f>SUM(F13:F20)</f>
        <v>1395</v>
      </c>
      <c r="G21" s="143">
        <f>SUM(G13:G20)</f>
        <v>634</v>
      </c>
      <c r="H21" s="309">
        <f t="shared" si="0"/>
        <v>0.45448028673835128</v>
      </c>
      <c r="I21" s="320">
        <v>0.49</v>
      </c>
    </row>
    <row r="22" spans="2:9">
      <c r="B22" s="77" t="s">
        <v>149</v>
      </c>
      <c r="C22" s="78" t="s">
        <v>56</v>
      </c>
      <c r="D22" s="449">
        <f>IF(COUNTIFS(Table2[OrgID],C22,Table2[Rel_D],Details!$D$61) =0,"-",SUMIFS(Table2[All currently registered regular patients aged 18+],Table2[OrgID],C22,Table2[Rel_D],Details!$D$61))</f>
        <v>12435</v>
      </c>
      <c r="E22" s="431" t="e">
        <f>SUMIFS(#REF!,#REF!,B22,#REF!,Details!$D$61)</f>
        <v>#REF!</v>
      </c>
      <c r="F22" s="325">
        <f>SUMIFS(Table2[E. Patients on the CHD or Stroke/TIA or PAD register],Table2[OrgID],$C22,Table2[Rel_D],$B$10)</f>
        <v>545</v>
      </c>
      <c r="G22" s="195">
        <f>SUMIFS(Table2[13 Secondary prevention statins prescribed or offered in last 12m],Table2[OrgID],$C22,Table2[Rel_D],$B$10)</f>
        <v>283</v>
      </c>
      <c r="H22" s="84">
        <f t="shared" si="0"/>
        <v>0.51926605504587153</v>
      </c>
      <c r="I22" s="347">
        <v>0.49</v>
      </c>
    </row>
    <row r="23" spans="2:9">
      <c r="B23" s="73" t="s">
        <v>150</v>
      </c>
      <c r="C23" s="74" t="s">
        <v>69</v>
      </c>
      <c r="D23" s="450">
        <f>SUMIFS(Table2[All currently registered regular patients aged 18+],Table2[OrgID],C23,Table2[Rel_D],Details!$D$61)</f>
        <v>7143</v>
      </c>
      <c r="E23" s="433" t="e">
        <f>SUMIFS(#REF!,#REF!,B23,#REF!,Details!$D$61)</f>
        <v>#REF!</v>
      </c>
      <c r="F23" s="322">
        <f>SUMIFS(Table2[E. Patients on the CHD or Stroke/TIA or PAD register],Table2[OrgID],$C23,Table2[Rel_D],$B$10)</f>
        <v>323</v>
      </c>
      <c r="G23" s="100">
        <f>SUMIFS(Table2[13 Secondary prevention statins prescribed or offered in last 12m],Table2[OrgID],$C23,Table2[Rel_D],$B$10)</f>
        <v>160</v>
      </c>
      <c r="H23" s="84">
        <f t="shared" si="0"/>
        <v>0.49535603715170279</v>
      </c>
      <c r="I23" s="345">
        <v>0.49</v>
      </c>
    </row>
    <row r="24" spans="2:9">
      <c r="B24" s="73" t="s">
        <v>151</v>
      </c>
      <c r="C24" s="74" t="s">
        <v>70</v>
      </c>
      <c r="D24" s="450">
        <f>SUMIFS(Table2[All currently registered regular patients aged 18+],Table2[OrgID],C24,Table2[Rel_D],Details!$D$61)</f>
        <v>10588</v>
      </c>
      <c r="E24" s="433" t="e">
        <f>SUMIFS(#REF!,#REF!,B24,#REF!,Details!$D$61)</f>
        <v>#REF!</v>
      </c>
      <c r="F24" s="322">
        <f>SUMIFS(Table2[E. Patients on the CHD or Stroke/TIA or PAD register],Table2[OrgID],$C24,Table2[Rel_D],$B$10)</f>
        <v>577</v>
      </c>
      <c r="G24" s="100">
        <f>SUMIFS(Table2[13 Secondary prevention statins prescribed or offered in last 12m],Table2[OrgID],$C24,Table2[Rel_D],$B$10)</f>
        <v>257</v>
      </c>
      <c r="H24" s="84">
        <f t="shared" si="0"/>
        <v>0.44540727902946275</v>
      </c>
      <c r="I24" s="345">
        <v>0.49</v>
      </c>
    </row>
    <row r="25" spans="2:9">
      <c r="B25" s="73" t="s">
        <v>152</v>
      </c>
      <c r="C25" s="74" t="s">
        <v>71</v>
      </c>
      <c r="D25" s="450">
        <f>SUMIFS(Table2[All currently registered regular patients aged 18+],Table2[OrgID],C25,Table2[Rel_D],Details!$D$61)</f>
        <v>5687</v>
      </c>
      <c r="E25" s="433" t="e">
        <f>SUMIFS(#REF!,#REF!,B25,#REF!,Details!$D$61)</f>
        <v>#REF!</v>
      </c>
      <c r="F25" s="322">
        <f>SUMIFS(Table2[E. Patients on the CHD or Stroke/TIA or PAD register],Table2[OrgID],$C25,Table2[Rel_D],$B$10)</f>
        <v>287</v>
      </c>
      <c r="G25" s="100">
        <f>SUMIFS(Table2[13 Secondary prevention statins prescribed or offered in last 12m],Table2[OrgID],$C25,Table2[Rel_D],$B$10)</f>
        <v>128</v>
      </c>
      <c r="H25" s="84">
        <f t="shared" si="0"/>
        <v>0.44599303135888502</v>
      </c>
      <c r="I25" s="345">
        <v>0.49</v>
      </c>
    </row>
    <row r="26" spans="2:9" ht="15.75" thickBot="1">
      <c r="B26" s="75" t="s">
        <v>153</v>
      </c>
      <c r="C26" s="76" t="s">
        <v>72</v>
      </c>
      <c r="D26" s="455">
        <f>SUMIFS(Table2[All currently registered regular patients aged 18+],Table2[OrgID],C26,Table2[Rel_D],Details!$D$61)</f>
        <v>6045</v>
      </c>
      <c r="E26" s="435" t="e">
        <f>SUMIFS(#REF!,#REF!,B26,#REF!,Details!$D$61)</f>
        <v>#REF!</v>
      </c>
      <c r="F26" s="326">
        <f>SUMIFS(Table2[E. Patients on the CHD or Stroke/TIA or PAD register],Table2[OrgID],$C26,Table2[Rel_D],$B$10)</f>
        <v>241</v>
      </c>
      <c r="G26" s="101">
        <f>SUMIFS(Table2[13 Secondary prevention statins prescribed or offered in last 12m],Table2[OrgID],$C26,Table2[Rel_D],$B$10)</f>
        <v>118</v>
      </c>
      <c r="H26" s="86">
        <f t="shared" si="0"/>
        <v>0.48962655601659749</v>
      </c>
      <c r="I26" s="346">
        <v>0.49</v>
      </c>
    </row>
    <row r="27" spans="2:9" ht="15.75" thickBot="1">
      <c r="B27" s="17" t="s">
        <v>154</v>
      </c>
      <c r="C27" s="18" t="s">
        <v>74</v>
      </c>
      <c r="D27" s="447">
        <f>SUM(D22:D26)</f>
        <v>41898</v>
      </c>
      <c r="E27" s="448" t="e">
        <f t="shared" ref="E27" si="2">SUM(E22:E26)</f>
        <v>#REF!</v>
      </c>
      <c r="F27" s="324">
        <f>SUM(F22:F26)</f>
        <v>1973</v>
      </c>
      <c r="G27" s="143">
        <f>SUM(G22:G26)</f>
        <v>946</v>
      </c>
      <c r="H27" s="309">
        <f t="shared" si="0"/>
        <v>0.47947288393309678</v>
      </c>
      <c r="I27" s="320">
        <v>0.49</v>
      </c>
    </row>
    <row r="28" spans="2:9">
      <c r="B28" s="77" t="s">
        <v>155</v>
      </c>
      <c r="C28" s="78" t="s">
        <v>75</v>
      </c>
      <c r="D28" s="449">
        <f>SUMIFS(Table2[All currently registered regular patients aged 18+],Table2[OrgID],C28,Table2[Rel_D],Details!$D$61)</f>
        <v>7813</v>
      </c>
      <c r="E28" s="431" t="e">
        <f>SUMIFS(#REF!,#REF!,B28,#REF!,Details!$D$61)</f>
        <v>#REF!</v>
      </c>
      <c r="F28" s="327">
        <f>SUMIFS(Table2[E. Patients on the CHD or Stroke/TIA or PAD register],Table2[OrgID],$C28,Table2[Rel_D],$B$10)</f>
        <v>359</v>
      </c>
      <c r="G28" s="102">
        <f>SUMIFS(Table2[13 Secondary prevention statins prescribed or offered in last 12m],Table2[OrgID],$C28,Table2[Rel_D],$B$10)</f>
        <v>192</v>
      </c>
      <c r="H28" s="88">
        <f t="shared" si="0"/>
        <v>0.5348189415041783</v>
      </c>
      <c r="I28" s="348">
        <v>0.49</v>
      </c>
    </row>
    <row r="29" spans="2:9">
      <c r="B29" s="73" t="s">
        <v>156</v>
      </c>
      <c r="C29" s="74" t="s">
        <v>76</v>
      </c>
      <c r="D29" s="450">
        <f>SUMIFS(Table2[All currently registered regular patients aged 18+],Table2[OrgID],C29,Table2[Rel_D],Details!$D$61)</f>
        <v>8209</v>
      </c>
      <c r="E29" s="433" t="e">
        <f>SUMIFS(#REF!,#REF!,B29,#REF!,Details!$D$61)</f>
        <v>#REF!</v>
      </c>
      <c r="F29" s="322">
        <f>SUMIFS(Table2[E. Patients on the CHD or Stroke/TIA or PAD register],Table2[OrgID],$C29,Table2[Rel_D],$B$10)</f>
        <v>346</v>
      </c>
      <c r="G29" s="100">
        <f>SUMIFS(Table2[13 Secondary prevention statins prescribed or offered in last 12m],Table2[OrgID],$C29,Table2[Rel_D],$B$10)</f>
        <v>200</v>
      </c>
      <c r="H29" s="84">
        <f t="shared" si="0"/>
        <v>0.5780346820809249</v>
      </c>
      <c r="I29" s="345">
        <v>0.49</v>
      </c>
    </row>
    <row r="30" spans="2:9" ht="15.75" thickBot="1">
      <c r="B30" s="75" t="s">
        <v>157</v>
      </c>
      <c r="C30" s="76" t="s">
        <v>59</v>
      </c>
      <c r="D30" s="455">
        <f>IF(COUNTIFS(Table2[OrgID],C30,Table2[Rel_D],Details!$D$61) =0,"-",SUMIFS(Table2[All currently registered regular patients aged 18+],Table2[OrgID],C30,Table2[Rel_D],Details!$D$61))</f>
        <v>11775</v>
      </c>
      <c r="E30" s="435" t="e">
        <f>SUMIFS(#REF!,#REF!,B30,#REF!,Details!$D$61)</f>
        <v>#REF!</v>
      </c>
      <c r="F30" s="323">
        <f>SUMIFS(Table2[E. Patients on the CHD or Stroke/TIA or PAD register],Table2[OrgID],$C30,Table2[Rel_D],$B$10)</f>
        <v>578</v>
      </c>
      <c r="G30" s="191">
        <f>SUMIFS(Table2[13 Secondary prevention statins prescribed or offered in last 12m],Table2[OrgID],$C30,Table2[Rel_D],$B$10)</f>
        <v>220</v>
      </c>
      <c r="H30" s="84">
        <f t="shared" si="0"/>
        <v>0.38062283737024222</v>
      </c>
      <c r="I30" s="346">
        <v>0.49</v>
      </c>
    </row>
    <row r="31" spans="2:9" ht="15.75" thickBot="1">
      <c r="B31" s="17" t="s">
        <v>158</v>
      </c>
      <c r="C31" s="18" t="s">
        <v>77</v>
      </c>
      <c r="D31" s="447">
        <f>SUM(D28:D30)</f>
        <v>27797</v>
      </c>
      <c r="E31" s="448" t="e">
        <f t="shared" ref="E31" si="3">SUM(E28:E30)</f>
        <v>#REF!</v>
      </c>
      <c r="F31" s="324">
        <f>SUM(F28:F30)</f>
        <v>1283</v>
      </c>
      <c r="G31" s="143">
        <f>SUM(G28:G30)</f>
        <v>612</v>
      </c>
      <c r="H31" s="309">
        <f t="shared" si="0"/>
        <v>0.47700701480904129</v>
      </c>
      <c r="I31" s="320">
        <v>0.49</v>
      </c>
    </row>
    <row r="32" spans="2:9">
      <c r="B32" s="77" t="s">
        <v>159</v>
      </c>
      <c r="C32" s="78" t="s">
        <v>78</v>
      </c>
      <c r="D32" s="449">
        <f>SUMIFS(Table2[All currently registered regular patients aged 18+],Table2[OrgID],C32,Table2[Rel_D],Details!$D$61)</f>
        <v>11555</v>
      </c>
      <c r="E32" s="431" t="e">
        <f>SUMIFS(#REF!,#REF!,B32,#REF!,Details!$D$61)</f>
        <v>#REF!</v>
      </c>
      <c r="F32" s="327">
        <f>SUMIFS(Table2[E. Patients on the CHD or Stroke/TIA or PAD register],Table2[OrgID],$C32,Table2[Rel_D],$B$10)</f>
        <v>359</v>
      </c>
      <c r="G32" s="102">
        <f>SUMIFS(Table2[13 Secondary prevention statins prescribed or offered in last 12m],Table2[OrgID],$C32,Table2[Rel_D],$B$10)</f>
        <v>175</v>
      </c>
      <c r="H32" s="88">
        <f t="shared" si="0"/>
        <v>0.48746518105849584</v>
      </c>
      <c r="I32" s="349">
        <v>0.49</v>
      </c>
    </row>
    <row r="33" spans="2:9">
      <c r="B33" s="73" t="s">
        <v>225</v>
      </c>
      <c r="C33" s="76" t="s">
        <v>79</v>
      </c>
      <c r="D33" s="450">
        <f>SUMIFS(Table2[All currently registered regular patients aged 18+],Table2[OrgID],C33,Table2[Rel_D],Details!$D$61)</f>
        <v>8734</v>
      </c>
      <c r="E33" s="433" t="e">
        <f>SUMIFS(#REF!,#REF!,B33,#REF!,Details!$D$61)</f>
        <v>#REF!</v>
      </c>
      <c r="F33" s="326">
        <f>SUMIFS(Table2[E. Patients on the CHD or Stroke/TIA or PAD register],Table2[OrgID],$C33,Table2[Rel_D],$B$10)</f>
        <v>150</v>
      </c>
      <c r="G33" s="101">
        <f>SUMIFS(Table2[13 Secondary prevention statins prescribed or offered in last 12m],Table2[OrgID],$C33,Table2[Rel_D],$B$10)</f>
        <v>86</v>
      </c>
      <c r="H33" s="86">
        <f t="shared" si="0"/>
        <v>0.57333333333333336</v>
      </c>
      <c r="I33" s="350">
        <v>0.49</v>
      </c>
    </row>
    <row r="34" spans="2:9">
      <c r="B34" s="73" t="s">
        <v>161</v>
      </c>
      <c r="C34" s="74" t="s">
        <v>80</v>
      </c>
      <c r="D34" s="450">
        <f>SUMIFS(Table2[All currently registered regular patients aged 18+],Table2[OrgID],C34,Table2[Rel_D],Details!$D$61)</f>
        <v>5550</v>
      </c>
      <c r="E34" s="433" t="e">
        <f>SUMIFS(#REF!,#REF!,B34,#REF!,Details!$D$61)</f>
        <v>#REF!</v>
      </c>
      <c r="F34" s="322">
        <f>SUMIFS(Table2[E. Patients on the CHD or Stroke/TIA or PAD register],Table2[OrgID],$C34,Table2[Rel_D],$B$10)</f>
        <v>143</v>
      </c>
      <c r="G34" s="100">
        <f>SUMIFS(Table2[13 Secondary prevention statins prescribed or offered in last 12m],Table2[OrgID],$C34,Table2[Rel_D],$B$10)</f>
        <v>91</v>
      </c>
      <c r="H34" s="84">
        <f t="shared" si="0"/>
        <v>0.63636363636363635</v>
      </c>
      <c r="I34" s="351">
        <v>0.49</v>
      </c>
    </row>
    <row r="35" spans="2:9">
      <c r="B35" s="73" t="s">
        <v>162</v>
      </c>
      <c r="C35" s="74" t="s">
        <v>81</v>
      </c>
      <c r="D35" s="450">
        <f>SUMIFS(Table2[All currently registered regular patients aged 18+],Table2[OrgID],C35,Table2[Rel_D],Details!$D$61)</f>
        <v>2808</v>
      </c>
      <c r="E35" s="433" t="e">
        <f>SUMIFS(#REF!,#REF!,B35,#REF!,Details!$D$61)</f>
        <v>#REF!</v>
      </c>
      <c r="F35" s="322">
        <f>SUMIFS(Table2[E. Patients on the CHD or Stroke/TIA or PAD register],Table2[OrgID],$C35,Table2[Rel_D],$B$10)</f>
        <v>63</v>
      </c>
      <c r="G35" s="100">
        <f>SUMIFS(Table2[13 Secondary prevention statins prescribed or offered in last 12m],Table2[OrgID],$C35,Table2[Rel_D],$B$10)</f>
        <v>29</v>
      </c>
      <c r="H35" s="84">
        <f t="shared" si="0"/>
        <v>0.46031746031746029</v>
      </c>
      <c r="I35" s="351">
        <v>0.49</v>
      </c>
    </row>
    <row r="36" spans="2:9">
      <c r="B36" s="73" t="s">
        <v>163</v>
      </c>
      <c r="C36" s="74" t="s">
        <v>82</v>
      </c>
      <c r="D36" s="450">
        <f>SUMIFS(Table2[All currently registered regular patients aged 18+],Table2[OrgID],C36,Table2[Rel_D],Details!$D$61)</f>
        <v>6361</v>
      </c>
      <c r="E36" s="433" t="e">
        <f>SUMIFS(#REF!,#REF!,B36,#REF!,Details!$D$61)</f>
        <v>#REF!</v>
      </c>
      <c r="F36" s="322">
        <f>SUMIFS(Table2[E. Patients on the CHD or Stroke/TIA or PAD register],Table2[OrgID],$C36,Table2[Rel_D],$B$10)</f>
        <v>192</v>
      </c>
      <c r="G36" s="100">
        <f>SUMIFS(Table2[13 Secondary prevention statins prescribed or offered in last 12m],Table2[OrgID],$C36,Table2[Rel_D],$B$10)</f>
        <v>91</v>
      </c>
      <c r="H36" s="84">
        <f t="shared" si="0"/>
        <v>0.47395833333333331</v>
      </c>
      <c r="I36" s="351">
        <v>0.49</v>
      </c>
    </row>
    <row r="37" spans="2:9">
      <c r="B37" s="73" t="s">
        <v>164</v>
      </c>
      <c r="C37" s="74" t="s">
        <v>83</v>
      </c>
      <c r="D37" s="450">
        <f>SUMIFS(Table2[All currently registered regular patients aged 18+],Table2[OrgID],C37,Table2[Rel_D],Details!$D$61)</f>
        <v>4175</v>
      </c>
      <c r="E37" s="433" t="e">
        <f>SUMIFS(#REF!,#REF!,B37,#REF!,Details!$D$61)</f>
        <v>#REF!</v>
      </c>
      <c r="F37" s="322">
        <f>SUMIFS(Table2[E. Patients on the CHD or Stroke/TIA or PAD register],Table2[OrgID],$C37,Table2[Rel_D],$B$10)</f>
        <v>132</v>
      </c>
      <c r="G37" s="100">
        <f>SUMIFS(Table2[13 Secondary prevention statins prescribed or offered in last 12m],Table2[OrgID],$C37,Table2[Rel_D],$B$10)</f>
        <v>68</v>
      </c>
      <c r="H37" s="84">
        <f t="shared" si="0"/>
        <v>0.51515151515151514</v>
      </c>
      <c r="I37" s="351">
        <v>0.49</v>
      </c>
    </row>
    <row r="38" spans="2:9" ht="15.75" thickBot="1">
      <c r="B38" s="75" t="s">
        <v>165</v>
      </c>
      <c r="C38" s="76" t="s">
        <v>63</v>
      </c>
      <c r="D38" s="455">
        <f>IF(COUNTIFS(Table2[OrgID],C38,Table2[Rel_D],Details!$D$61) =0,"-",SUMIFS(Table2[All currently registered regular patients aged 18+],Table2[OrgID],C38,Table2[Rel_D],Details!$D$61))</f>
        <v>7767</v>
      </c>
      <c r="E38" s="435" t="e">
        <f>SUMIFS(#REF!,#REF!,B38,#REF!,Details!$D$61)</f>
        <v>#REF!</v>
      </c>
      <c r="F38" s="323">
        <f>SUMIFS(Table2[E. Patients on the CHD or Stroke/TIA or PAD register],Table2[OrgID],$C38,Table2[Rel_D],$B$10)</f>
        <v>359</v>
      </c>
      <c r="G38" s="191">
        <f>SUMIFS(Table2[13 Secondary prevention statins prescribed or offered in last 12m],Table2[OrgID],$C38,Table2[Rel_D],$B$10)</f>
        <v>141</v>
      </c>
      <c r="H38" s="84">
        <f t="shared" si="0"/>
        <v>0.39275766016713093</v>
      </c>
      <c r="I38" s="350">
        <v>0.49</v>
      </c>
    </row>
    <row r="39" spans="2:9" ht="15.75" thickBot="1">
      <c r="B39" s="17" t="s">
        <v>166</v>
      </c>
      <c r="C39" s="18" t="s">
        <v>84</v>
      </c>
      <c r="D39" s="447">
        <f t="shared" ref="D39:E39" si="4">SUM(D32:D38)</f>
        <v>46950</v>
      </c>
      <c r="E39" s="448" t="e">
        <f t="shared" si="4"/>
        <v>#REF!</v>
      </c>
      <c r="F39" s="324">
        <f>SUM(F32:F38)</f>
        <v>1398</v>
      </c>
      <c r="G39" s="143">
        <f>SUM(G32:G38)</f>
        <v>681</v>
      </c>
      <c r="H39" s="309">
        <f t="shared" si="0"/>
        <v>0.48712446351931332</v>
      </c>
      <c r="I39" s="312">
        <v>0.49</v>
      </c>
    </row>
    <row r="40" spans="2:9">
      <c r="B40" s="77" t="s">
        <v>167</v>
      </c>
      <c r="C40" s="78" t="s">
        <v>85</v>
      </c>
      <c r="D40" s="449">
        <f>SUMIFS(Table2[All currently registered regular patients aged 18+],Table2[OrgID],C40,Table2[Rel_D],Details!$D$61)</f>
        <v>5335</v>
      </c>
      <c r="E40" s="431" t="e">
        <f>SUMIFS(#REF!,#REF!,B40,#REF!,Details!$D$61)</f>
        <v>#REF!</v>
      </c>
      <c r="F40" s="327">
        <f>SUMIFS(Table2[E. Patients on the CHD or Stroke/TIA or PAD register],Table2[OrgID],$C40,Table2[Rel_D],$B$10)</f>
        <v>158</v>
      </c>
      <c r="G40" s="102">
        <f>SUMIFS(Table2[13 Secondary prevention statins prescribed or offered in last 12m],Table2[OrgID],$C40,Table2[Rel_D],$B$10)</f>
        <v>70</v>
      </c>
      <c r="H40" s="88">
        <f t="shared" si="0"/>
        <v>0.44303797468354428</v>
      </c>
      <c r="I40" s="349">
        <v>0.49</v>
      </c>
    </row>
    <row r="41" spans="2:9">
      <c r="B41" s="73" t="s">
        <v>168</v>
      </c>
      <c r="C41" s="74" t="s">
        <v>86</v>
      </c>
      <c r="D41" s="450">
        <f>SUMIFS(Table2[All currently registered regular patients aged 18+],Table2[OrgID],C41,Table2[Rel_D],Details!$D$61)</f>
        <v>1693</v>
      </c>
      <c r="E41" s="433" t="e">
        <f>SUMIFS(#REF!,#REF!,B41,#REF!,Details!$D$61)</f>
        <v>#REF!</v>
      </c>
      <c r="F41" s="322">
        <f>SUMIFS(Table2[E. Patients on the CHD or Stroke/TIA or PAD register],Table2[OrgID],$C41,Table2[Rel_D],$B$10)</f>
        <v>69</v>
      </c>
      <c r="G41" s="100">
        <f>SUMIFS(Table2[13 Secondary prevention statins prescribed or offered in last 12m],Table2[OrgID],$C41,Table2[Rel_D],$B$10)</f>
        <v>32</v>
      </c>
      <c r="H41" s="84">
        <f t="shared" si="0"/>
        <v>0.46376811594202899</v>
      </c>
      <c r="I41" s="351">
        <v>0.49</v>
      </c>
    </row>
    <row r="42" spans="2:9">
      <c r="B42" s="73" t="s">
        <v>169</v>
      </c>
      <c r="C42" s="74" t="s">
        <v>87</v>
      </c>
      <c r="D42" s="450">
        <f>SUMIFS(Table2[All currently registered regular patients aged 18+],Table2[OrgID],C42,Table2[Rel_D],Details!$D$61)</f>
        <v>3066</v>
      </c>
      <c r="E42" s="433" t="e">
        <f>SUMIFS(#REF!,#REF!,B42,#REF!,Details!$D$61)</f>
        <v>#REF!</v>
      </c>
      <c r="F42" s="322">
        <f>SUMIFS(Table2[E. Patients on the CHD or Stroke/TIA or PAD register],Table2[OrgID],$C42,Table2[Rel_D],$B$10)</f>
        <v>91</v>
      </c>
      <c r="G42" s="100">
        <f>SUMIFS(Table2[13 Secondary prevention statins prescribed or offered in last 12m],Table2[OrgID],$C42,Table2[Rel_D],$B$10)</f>
        <v>46</v>
      </c>
      <c r="H42" s="84">
        <f t="shared" si="0"/>
        <v>0.50549450549450547</v>
      </c>
      <c r="I42" s="351">
        <v>0.49</v>
      </c>
    </row>
    <row r="43" spans="2:9">
      <c r="B43" s="73" t="s">
        <v>170</v>
      </c>
      <c r="C43" s="74" t="s">
        <v>88</v>
      </c>
      <c r="D43" s="450">
        <f>SUMIFS(Table2[All currently registered regular patients aged 18+],Table2[OrgID],C43,Table2[Rel_D],Details!$D$61)</f>
        <v>4678</v>
      </c>
      <c r="E43" s="433" t="e">
        <f>SUMIFS(#REF!,#REF!,B43,#REF!,Details!$D$61)</f>
        <v>#REF!</v>
      </c>
      <c r="F43" s="322">
        <f>SUMIFS(Table2[E. Patients on the CHD or Stroke/TIA or PAD register],Table2[OrgID],$C43,Table2[Rel_D],$B$10)</f>
        <v>201</v>
      </c>
      <c r="G43" s="100">
        <f>SUMIFS(Table2[13 Secondary prevention statins prescribed or offered in last 12m],Table2[OrgID],$C43,Table2[Rel_D],$B$10)</f>
        <v>92</v>
      </c>
      <c r="H43" s="84">
        <f t="shared" si="0"/>
        <v>0.45771144278606968</v>
      </c>
      <c r="I43" s="351">
        <v>0.49</v>
      </c>
    </row>
    <row r="44" spans="2:9">
      <c r="B44" s="73" t="s">
        <v>171</v>
      </c>
      <c r="C44" s="74" t="s">
        <v>89</v>
      </c>
      <c r="D44" s="450">
        <f>SUMIFS(Table2[All currently registered regular patients aged 18+],Table2[OrgID],C44,Table2[Rel_D],Details!$D$61)</f>
        <v>11904</v>
      </c>
      <c r="E44" s="433" t="e">
        <f>SUMIFS(#REF!,#REF!,B44,#REF!,Details!$D$61)</f>
        <v>#REF!</v>
      </c>
      <c r="F44" s="322">
        <f>SUMIFS(Table2[E. Patients on the CHD or Stroke/TIA or PAD register],Table2[OrgID],$C44,Table2[Rel_D],$B$10)</f>
        <v>313</v>
      </c>
      <c r="G44" s="100">
        <f>SUMIFS(Table2[13 Secondary prevention statins prescribed or offered in last 12m],Table2[OrgID],$C44,Table2[Rel_D],$B$10)</f>
        <v>166</v>
      </c>
      <c r="H44" s="84">
        <f t="shared" si="0"/>
        <v>0.53035143769968052</v>
      </c>
      <c r="I44" s="351">
        <v>0.49</v>
      </c>
    </row>
    <row r="45" spans="2:9" ht="15.75" thickBot="1">
      <c r="B45" s="75" t="s">
        <v>172</v>
      </c>
      <c r="C45" s="76" t="s">
        <v>90</v>
      </c>
      <c r="D45" s="455">
        <f>SUMIFS(Table2[All currently registered regular patients aged 18+],Table2[OrgID],C45,Table2[Rel_D],Details!$D$61)</f>
        <v>2900</v>
      </c>
      <c r="E45" s="435" t="e">
        <f>SUMIFS(#REF!,#REF!,B45,#REF!,Details!$D$61)</f>
        <v>#REF!</v>
      </c>
      <c r="F45" s="326">
        <f>SUMIFS(Table2[E. Patients on the CHD or Stroke/TIA or PAD register],Table2[OrgID],$C45,Table2[Rel_D],$B$10)</f>
        <v>80</v>
      </c>
      <c r="G45" s="101">
        <f>SUMIFS(Table2[13 Secondary prevention statins prescribed or offered in last 12m],Table2[OrgID],$C45,Table2[Rel_D],$B$10)</f>
        <v>41</v>
      </c>
      <c r="H45" s="86">
        <f t="shared" si="0"/>
        <v>0.51249999999999996</v>
      </c>
      <c r="I45" s="350">
        <v>0.49</v>
      </c>
    </row>
    <row r="46" spans="2:9" ht="15.75" thickBot="1">
      <c r="B46" s="17" t="s">
        <v>173</v>
      </c>
      <c r="C46" s="18" t="s">
        <v>91</v>
      </c>
      <c r="D46" s="447">
        <f t="shared" ref="D46:E46" si="5">SUM(D40:D45)</f>
        <v>29576</v>
      </c>
      <c r="E46" s="448" t="e">
        <f t="shared" si="5"/>
        <v>#REF!</v>
      </c>
      <c r="F46" s="324">
        <f>SUM(F40:F45)</f>
        <v>912</v>
      </c>
      <c r="G46" s="143">
        <f>SUM(G40:G45)</f>
        <v>447</v>
      </c>
      <c r="H46" s="309">
        <f t="shared" si="0"/>
        <v>0.49013157894736842</v>
      </c>
      <c r="I46" s="312">
        <v>0.49</v>
      </c>
    </row>
    <row r="47" spans="2:9">
      <c r="B47" s="77" t="s">
        <v>174</v>
      </c>
      <c r="C47" s="78" t="s">
        <v>92</v>
      </c>
      <c r="D47" s="449">
        <f>SUMIFS(Table2[All currently registered regular patients aged 18+],Table2[OrgID],C47,Table2[Rel_D],Details!$D$61)</f>
        <v>11854</v>
      </c>
      <c r="E47" s="431" t="e">
        <f>SUMIFS(#REF!,#REF!,B47,#REF!,Details!$D$61)</f>
        <v>#REF!</v>
      </c>
      <c r="F47" s="327">
        <f>SUMIFS(Table2[E. Patients on the CHD or Stroke/TIA or PAD register],Table2[OrgID],$C47,Table2[Rel_D],$B$10)</f>
        <v>316</v>
      </c>
      <c r="G47" s="102">
        <f>SUMIFS(Table2[13 Secondary prevention statins prescribed or offered in last 12m],Table2[OrgID],$C47,Table2[Rel_D],$B$10)</f>
        <v>159</v>
      </c>
      <c r="H47" s="88">
        <f t="shared" si="0"/>
        <v>0.50316455696202533</v>
      </c>
      <c r="I47" s="349">
        <v>0.49</v>
      </c>
    </row>
    <row r="48" spans="2:9">
      <c r="B48" s="73" t="s">
        <v>175</v>
      </c>
      <c r="C48" s="74" t="s">
        <v>93</v>
      </c>
      <c r="D48" s="450">
        <f>SUMIFS(Table2[All currently registered regular patients aged 18+],Table2[OrgID],C48,Table2[Rel_D],Details!$D$61)</f>
        <v>2159</v>
      </c>
      <c r="E48" s="433" t="e">
        <f>SUMIFS(#REF!,#REF!,B48,#REF!,Details!$D$61)</f>
        <v>#REF!</v>
      </c>
      <c r="F48" s="322">
        <f>SUMIFS(Table2[E. Patients on the CHD or Stroke/TIA or PAD register],Table2[OrgID],$C48,Table2[Rel_D],$B$10)</f>
        <v>84</v>
      </c>
      <c r="G48" s="100">
        <f>SUMIFS(Table2[13 Secondary prevention statins prescribed or offered in last 12m],Table2[OrgID],$C48,Table2[Rel_D],$B$10)</f>
        <v>38</v>
      </c>
      <c r="H48" s="84">
        <f t="shared" si="0"/>
        <v>0.45238095238095238</v>
      </c>
      <c r="I48" s="351">
        <v>0.49</v>
      </c>
    </row>
    <row r="49" spans="2:9">
      <c r="B49" s="73" t="s">
        <v>226</v>
      </c>
      <c r="C49" s="74" t="s">
        <v>94</v>
      </c>
      <c r="D49" s="450">
        <f>SUMIFS(Table2[All currently registered regular patients aged 18+],Table2[OrgID],C49,Table2[Rel_D],Details!$D$61)</f>
        <v>6202</v>
      </c>
      <c r="E49" s="433" t="e">
        <f>SUMIFS(#REF!,#REF!,B49,#REF!,Details!$D$61)</f>
        <v>#REF!</v>
      </c>
      <c r="F49" s="322">
        <f>SUMIFS(Table2[E. Patients on the CHD or Stroke/TIA or PAD register],Table2[OrgID],$C49,Table2[Rel_D],$B$10)</f>
        <v>232</v>
      </c>
      <c r="G49" s="100">
        <f>SUMIFS(Table2[13 Secondary prevention statins prescribed or offered in last 12m],Table2[OrgID],$C49,Table2[Rel_D],$B$10)</f>
        <v>111</v>
      </c>
      <c r="H49" s="84">
        <f t="shared" si="0"/>
        <v>0.47844827586206895</v>
      </c>
      <c r="I49" s="351">
        <v>0.49</v>
      </c>
    </row>
    <row r="50" spans="2:9">
      <c r="B50" s="73" t="s">
        <v>177</v>
      </c>
      <c r="C50" s="74" t="s">
        <v>95</v>
      </c>
      <c r="D50" s="450">
        <f>SUMIFS(Table2[All currently registered regular patients aged 18+],Table2[OrgID],C50,Table2[Rel_D],Details!$D$61)</f>
        <v>4578</v>
      </c>
      <c r="E50" s="433" t="e">
        <f>SUMIFS(#REF!,#REF!,B50,#REF!,Details!$D$61)</f>
        <v>#REF!</v>
      </c>
      <c r="F50" s="322">
        <f>SUMIFS(Table2[E. Patients on the CHD or Stroke/TIA or PAD register],Table2[OrgID],$C50,Table2[Rel_D],$B$10)</f>
        <v>133</v>
      </c>
      <c r="G50" s="100">
        <f>SUMIFS(Table2[13 Secondary prevention statins prescribed or offered in last 12m],Table2[OrgID],$C50,Table2[Rel_D],$B$10)</f>
        <v>75</v>
      </c>
      <c r="H50" s="84">
        <f t="shared" si="0"/>
        <v>0.56390977443609025</v>
      </c>
      <c r="I50" s="351">
        <v>0.49</v>
      </c>
    </row>
    <row r="51" spans="2:9" ht="15.75" thickBot="1">
      <c r="B51" s="75" t="s">
        <v>178</v>
      </c>
      <c r="C51" s="76" t="s">
        <v>96</v>
      </c>
      <c r="D51" s="455">
        <f>SUMIFS(Table2[All currently registered regular patients aged 18+],Table2[OrgID],C51,Table2[Rel_D],Details!$D$61)</f>
        <v>7066</v>
      </c>
      <c r="E51" s="435" t="e">
        <f>SUMIFS(#REF!,#REF!,B51,#REF!,Details!$D$61)</f>
        <v>#REF!</v>
      </c>
      <c r="F51" s="326">
        <f>SUMIFS(Table2[E. Patients on the CHD or Stroke/TIA or PAD register],Table2[OrgID],$C51,Table2[Rel_D],$B$10)</f>
        <v>259</v>
      </c>
      <c r="G51" s="101">
        <f>SUMIFS(Table2[13 Secondary prevention statins prescribed or offered in last 12m],Table2[OrgID],$C51,Table2[Rel_D],$B$10)</f>
        <v>126</v>
      </c>
      <c r="H51" s="86">
        <f t="shared" si="0"/>
        <v>0.48648648648648651</v>
      </c>
      <c r="I51" s="350">
        <v>0.49</v>
      </c>
    </row>
    <row r="52" spans="2:9" ht="15.75" thickBot="1">
      <c r="B52" s="17" t="s">
        <v>179</v>
      </c>
      <c r="C52" s="18" t="s">
        <v>97</v>
      </c>
      <c r="D52" s="447">
        <f t="shared" ref="D52:E52" si="6">SUM(D47:D51)</f>
        <v>31859</v>
      </c>
      <c r="E52" s="448" t="e">
        <f t="shared" si="6"/>
        <v>#REF!</v>
      </c>
      <c r="F52" s="324">
        <f>SUM(F47:F51)</f>
        <v>1024</v>
      </c>
      <c r="G52" s="143">
        <f>SUM(G47:G51)</f>
        <v>509</v>
      </c>
      <c r="H52" s="309">
        <f t="shared" si="0"/>
        <v>0.4970703125</v>
      </c>
      <c r="I52" s="312">
        <v>0.49</v>
      </c>
    </row>
    <row r="53" spans="2:9">
      <c r="B53" s="77" t="s">
        <v>180</v>
      </c>
      <c r="C53" s="79" t="s">
        <v>98</v>
      </c>
      <c r="D53" s="449">
        <f>SUMIFS(Table2[All currently registered regular patients aged 18+],Table2[OrgID],C53,Table2[Rel_D],Details!$D$61)</f>
        <v>5360</v>
      </c>
      <c r="E53" s="431" t="e">
        <f>SUMIFS(#REF!,#REF!,B53,#REF!,Details!$D$61)</f>
        <v>#REF!</v>
      </c>
      <c r="F53" s="328">
        <f>SUMIFS(Table2[E. Patients on the CHD or Stroke/TIA or PAD register],Table2[OrgID],$C53,Table2[Rel_D],$B$10)</f>
        <v>170</v>
      </c>
      <c r="G53" s="103">
        <f>SUMIFS(Table2[13 Secondary prevention statins prescribed or offered in last 12m],Table2[OrgID],$C53,Table2[Rel_D],$B$10)</f>
        <v>107</v>
      </c>
      <c r="H53" s="92">
        <f t="shared" si="0"/>
        <v>0.62941176470588234</v>
      </c>
      <c r="I53" s="352">
        <v>0.49</v>
      </c>
    </row>
    <row r="54" spans="2:9">
      <c r="B54" s="73" t="s">
        <v>221</v>
      </c>
      <c r="C54" s="74" t="s">
        <v>99</v>
      </c>
      <c r="D54" s="450">
        <f>SUMIFS(Table2[All currently registered regular patients aged 18+],Table2[OrgID],C54,Table2[Rel_D],Details!$D$61)</f>
        <v>6306</v>
      </c>
      <c r="E54" s="433" t="e">
        <f>SUMIFS(#REF!,#REF!,B54,#REF!,Details!$D$61)</f>
        <v>#REF!</v>
      </c>
      <c r="F54" s="322">
        <f>SUMIFS(Table2[E. Patients on the CHD or Stroke/TIA or PAD register],Table2[OrgID],$C54,Table2[Rel_D],$B$10)</f>
        <v>199</v>
      </c>
      <c r="G54" s="100">
        <f>SUMIFS(Table2[13 Secondary prevention statins prescribed or offered in last 12m],Table2[OrgID],$C54,Table2[Rel_D],$B$10)</f>
        <v>131</v>
      </c>
      <c r="H54" s="84">
        <f t="shared" si="0"/>
        <v>0.65829145728643212</v>
      </c>
      <c r="I54" s="351">
        <v>0.49</v>
      </c>
    </row>
    <row r="55" spans="2:9">
      <c r="B55" s="73" t="s">
        <v>182</v>
      </c>
      <c r="C55" s="74" t="s">
        <v>100</v>
      </c>
      <c r="D55" s="450">
        <f>SUMIFS(Table2[All currently registered regular patients aged 18+],Table2[OrgID],C55,Table2[Rel_D],Details!$D$61)</f>
        <v>5695</v>
      </c>
      <c r="E55" s="433" t="e">
        <f>SUMIFS(#REF!,#REF!,B55,#REF!,Details!$D$61)</f>
        <v>#REF!</v>
      </c>
      <c r="F55" s="322">
        <f>SUMIFS(Table2[E. Patients on the CHD or Stroke/TIA or PAD register],Table2[OrgID],$C55,Table2[Rel_D],$B$10)</f>
        <v>194</v>
      </c>
      <c r="G55" s="100">
        <f>SUMIFS(Table2[13 Secondary prevention statins prescribed or offered in last 12m],Table2[OrgID],$C55,Table2[Rel_D],$B$10)</f>
        <v>115</v>
      </c>
      <c r="H55" s="84">
        <f t="shared" si="0"/>
        <v>0.59278350515463918</v>
      </c>
      <c r="I55" s="351">
        <v>0.49</v>
      </c>
    </row>
    <row r="56" spans="2:9">
      <c r="B56" s="73" t="s">
        <v>183</v>
      </c>
      <c r="C56" s="74" t="s">
        <v>101</v>
      </c>
      <c r="D56" s="450">
        <f>SUMIFS(Table2[All currently registered regular patients aged 18+],Table2[OrgID],C56,Table2[Rel_D],Details!$D$61)</f>
        <v>4725</v>
      </c>
      <c r="E56" s="456" t="e">
        <f>SUMIFS(#REF!,#REF!,B56,#REF!,Details!$D$61)</f>
        <v>#REF!</v>
      </c>
      <c r="F56" s="322">
        <f>SUMIFS(Table2[E. Patients on the CHD or Stroke/TIA or PAD register],Table2[OrgID],$C56,Table2[Rel_D],$B$10)</f>
        <v>85</v>
      </c>
      <c r="G56" s="100">
        <f>SUMIFS(Table2[13 Secondary prevention statins prescribed or offered in last 12m],Table2[OrgID],$C56,Table2[Rel_D],$B$10)</f>
        <v>49</v>
      </c>
      <c r="H56" s="84">
        <f t="shared" si="0"/>
        <v>0.57647058823529407</v>
      </c>
      <c r="I56" s="351">
        <v>0.49</v>
      </c>
    </row>
    <row r="57" spans="2:9" ht="15.75" thickBot="1">
      <c r="B57" s="75" t="s">
        <v>184</v>
      </c>
      <c r="C57" s="76" t="s">
        <v>102</v>
      </c>
      <c r="D57" s="455">
        <f>SUMIFS(Table2[All currently registered regular patients aged 18+],Table2[OrgID],C57,Table2[Rel_D],Details!$D$61)</f>
        <v>12833</v>
      </c>
      <c r="E57" s="435" t="e">
        <f>SUMIFS(#REF!,#REF!,B57,#REF!,Details!$D$61)</f>
        <v>#REF!</v>
      </c>
      <c r="F57" s="326">
        <f>SUMIFS(Table2[E. Patients on the CHD or Stroke/TIA or PAD register],Table2[OrgID],$C57,Table2[Rel_D],$B$10)</f>
        <v>320</v>
      </c>
      <c r="G57" s="101">
        <f>SUMIFS(Table2[13 Secondary prevention statins prescribed or offered in last 12m],Table2[OrgID],$C57,Table2[Rel_D],$B$10)</f>
        <v>176</v>
      </c>
      <c r="H57" s="86">
        <f t="shared" si="0"/>
        <v>0.55000000000000004</v>
      </c>
      <c r="I57" s="350">
        <v>0.49</v>
      </c>
    </row>
    <row r="58" spans="2:9" ht="15.75" thickBot="1">
      <c r="B58" s="17" t="s">
        <v>185</v>
      </c>
      <c r="C58" s="18" t="s">
        <v>103</v>
      </c>
      <c r="D58" s="447">
        <f t="shared" ref="D58:E58" si="7">SUM(D53:D57)</f>
        <v>34919</v>
      </c>
      <c r="E58" s="448" t="e">
        <f t="shared" si="7"/>
        <v>#REF!</v>
      </c>
      <c r="F58" s="329">
        <f>SUM(F53:F57)</f>
        <v>968</v>
      </c>
      <c r="G58" s="263">
        <f>SUM(G53:G57)</f>
        <v>578</v>
      </c>
      <c r="H58" s="310">
        <f t="shared" si="0"/>
        <v>0.59710743801652888</v>
      </c>
      <c r="I58" s="313">
        <v>0.49</v>
      </c>
    </row>
    <row r="59" spans="2:9" ht="19.5" thickBot="1">
      <c r="B59" s="146" t="s">
        <v>186</v>
      </c>
      <c r="C59" s="147" t="s">
        <v>37</v>
      </c>
      <c r="D59" s="457">
        <f>SUM(D58,D52,D46,D39,D31,D27,D21)</f>
        <v>253124</v>
      </c>
      <c r="E59" s="458"/>
      <c r="F59" s="330">
        <f>SUM(F58,F52,F46,F39,F31,F27,F21)</f>
        <v>8953</v>
      </c>
      <c r="G59" s="264">
        <f>SUM(G58,G52,G46,G39,G31,G27,G21)</f>
        <v>4407</v>
      </c>
      <c r="H59" s="311">
        <f t="shared" si="0"/>
        <v>0.49223723891433041</v>
      </c>
      <c r="I59" s="314">
        <v>0.49</v>
      </c>
    </row>
  </sheetData>
  <mergeCells count="49">
    <mergeCell ref="D57:E57"/>
    <mergeCell ref="D58:E58"/>
    <mergeCell ref="D59:E59"/>
    <mergeCell ref="D51:E51"/>
    <mergeCell ref="D52:E52"/>
    <mergeCell ref="D53:E53"/>
    <mergeCell ref="D54:E54"/>
    <mergeCell ref="D55:E55"/>
    <mergeCell ref="D56:E56"/>
    <mergeCell ref="D50:E50"/>
    <mergeCell ref="D39:E39"/>
    <mergeCell ref="D40:E40"/>
    <mergeCell ref="D41:E41"/>
    <mergeCell ref="D42:E42"/>
    <mergeCell ref="D43:E43"/>
    <mergeCell ref="D44:E44"/>
    <mergeCell ref="D45:E45"/>
    <mergeCell ref="D46:E46"/>
    <mergeCell ref="D47:E47"/>
    <mergeCell ref="D48:E48"/>
    <mergeCell ref="D49:E49"/>
    <mergeCell ref="D38:E38"/>
    <mergeCell ref="D27:E27"/>
    <mergeCell ref="D28:E28"/>
    <mergeCell ref="D29:E29"/>
    <mergeCell ref="D30:E30"/>
    <mergeCell ref="D31:E31"/>
    <mergeCell ref="D32:E32"/>
    <mergeCell ref="D33:E33"/>
    <mergeCell ref="D34:E34"/>
    <mergeCell ref="D35:E35"/>
    <mergeCell ref="D36:E36"/>
    <mergeCell ref="D37:E37"/>
    <mergeCell ref="D12:E12"/>
    <mergeCell ref="G12:H12"/>
    <mergeCell ref="D13:E13"/>
    <mergeCell ref="D14:E14"/>
    <mergeCell ref="D26:E26"/>
    <mergeCell ref="D15:E15"/>
    <mergeCell ref="D16:E16"/>
    <mergeCell ref="D17:E17"/>
    <mergeCell ref="D18:E18"/>
    <mergeCell ref="D19:E19"/>
    <mergeCell ref="D20:E20"/>
    <mergeCell ref="D21:E21"/>
    <mergeCell ref="D22:E22"/>
    <mergeCell ref="D23:E23"/>
    <mergeCell ref="D24:E24"/>
    <mergeCell ref="D25:E25"/>
  </mergeCells>
  <pageMargins left="0.7" right="0.7" top="0.75" bottom="0.75" header="0.3" footer="0.3"/>
  <drawing r:id="rId1"/>
  <legacyDrawing r:id="rId2"/>
  <controls>
    <mc:AlternateContent xmlns:mc="http://schemas.openxmlformats.org/markup-compatibility/2006">
      <mc:Choice Requires="x14">
        <control shapeId="22529" r:id="rId3" name="ComboBox1">
          <controlPr defaultSize="0" autoLine="0" linkedCell="Control!E5" listFillRange="Control!B2:C14" r:id="rId4">
            <anchor moveWithCells="1">
              <from>
                <xdr:col>4</xdr:col>
                <xdr:colOff>657225</xdr:colOff>
                <xdr:row>0</xdr:row>
                <xdr:rowOff>76200</xdr:rowOff>
              </from>
              <to>
                <xdr:col>5</xdr:col>
                <xdr:colOff>819150</xdr:colOff>
                <xdr:row>1</xdr:row>
                <xdr:rowOff>161925</xdr:rowOff>
              </to>
            </anchor>
          </controlPr>
        </control>
      </mc:Choice>
      <mc:Fallback>
        <control shapeId="22529" r:id="rId3" name="ComboBox1"/>
      </mc:Fallback>
    </mc:AlternateContent>
  </controls>
  <extLst>
    <ext xmlns:x14="http://schemas.microsoft.com/office/spreadsheetml/2009/9/main" uri="{78C0D931-6437-407d-A8EE-F0AAD7539E65}">
      <x14:conditionalFormattings>
        <x14:conditionalFormatting xmlns:xm="http://schemas.microsoft.com/office/excel/2006/main">
          <x14:cfRule type="iconSet" priority="2" id="{33F92AF2-62BC-46E2-A9D8-FC39F1690A96}">
            <x14:iconSet custom="1">
              <x14:cfvo type="percent">
                <xm:f>0</xm:f>
              </x14:cfvo>
              <x14:cfvo type="num">
                <xm:f>0</xm:f>
              </x14:cfvo>
              <x14:cfvo type="num">
                <xm:f>0.49</xm:f>
              </x14:cfvo>
              <x14:cfIcon iconSet="NoIcons" iconId="0"/>
              <x14:cfIcon iconSet="3TrafficLights1" iconId="0"/>
              <x14:cfIcon iconSet="3TrafficLights1" iconId="2"/>
            </x14:iconSet>
          </x14:cfRule>
          <xm:sqref>H13:H20 H22:H26 H28:H30 H32:H38 H40:H45 H47:H51 H53:H57</xm:sqref>
        </x14:conditionalFormatting>
      </x14:conditionalFormattings>
    </ext>
    <ext xmlns:x14="http://schemas.microsoft.com/office/spreadsheetml/2009/9/main" uri="{A8765BA9-456A-4dab-B4F3-ACF838C121DE}">
      <x14:slicerList>
        <x14:slicer r:id="rId5"/>
      </x14:slicerList>
    </ext>
  </extLst>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5F52D5-53B8-4250-9D2A-6967C95C2ADC}">
  <sheetPr codeName="Sheet8"/>
  <dimension ref="B2:O59"/>
  <sheetViews>
    <sheetView showGridLines="0" zoomScale="90" zoomScaleNormal="90" workbookViewId="0">
      <pane ySplit="2" topLeftCell="B8" activePane="bottomLeft" state="frozen"/>
      <selection pane="bottomLeft" activeCell="N8" sqref="N8"/>
    </sheetView>
  </sheetViews>
  <sheetFormatPr defaultRowHeight="15"/>
  <cols>
    <col min="1" max="1" width="1.5703125" customWidth="1"/>
    <col min="2" max="2" width="52.7109375" bestFit="1" customWidth="1"/>
    <col min="4" max="4" width="15.28515625" customWidth="1"/>
    <col min="5" max="5" width="16.140625" customWidth="1"/>
    <col min="6" max="6" width="26.7109375" customWidth="1"/>
    <col min="7" max="7" width="19.7109375" customWidth="1"/>
    <col min="8" max="8" width="15.5703125" customWidth="1"/>
    <col min="9" max="9" width="21.7109375" customWidth="1"/>
    <col min="11" max="11" width="18.140625" customWidth="1"/>
  </cols>
  <sheetData>
    <row r="2" spans="2:15" ht="15.75">
      <c r="G2" s="285"/>
    </row>
    <row r="3" spans="2:15" ht="20.25" customHeight="1"/>
    <row r="4" spans="2:15" ht="38.25" customHeight="1"/>
    <row r="5" spans="2:15" ht="38.25" customHeight="1"/>
    <row r="6" spans="2:15" ht="38.25" customHeight="1">
      <c r="G6" s="395"/>
      <c r="H6" s="395"/>
    </row>
    <row r="7" spans="2:15" ht="38.25" customHeight="1">
      <c r="G7" s="395"/>
      <c r="H7" s="395"/>
    </row>
    <row r="8" spans="2:15" ht="38.25" customHeight="1">
      <c r="G8" s="395"/>
      <c r="H8" s="395"/>
    </row>
    <row r="9" spans="2:15" ht="38.25" customHeight="1"/>
    <row r="10" spans="2:15" ht="16.5" thickBot="1">
      <c r="B10" s="392" t="str">
        <f>Control!F2</f>
        <v>01/04/2022</v>
      </c>
      <c r="F10" s="465" t="s">
        <v>110</v>
      </c>
      <c r="G10" s="465"/>
      <c r="H10" s="465"/>
      <c r="I10" s="465"/>
      <c r="J10" s="465"/>
      <c r="K10" s="258"/>
    </row>
    <row r="11" spans="2:15" ht="16.5" thickBot="1">
      <c r="F11" s="215"/>
      <c r="G11" s="215"/>
      <c r="H11" s="215"/>
      <c r="I11" s="215"/>
      <c r="J11" s="215"/>
      <c r="K11" s="215"/>
    </row>
    <row r="12" spans="2:15" ht="102.75" customHeight="1" thickBot="1">
      <c r="B12" s="13" t="s">
        <v>113</v>
      </c>
      <c r="C12" s="14" t="s">
        <v>114</v>
      </c>
      <c r="D12" s="495" t="s">
        <v>115</v>
      </c>
      <c r="E12" s="496"/>
      <c r="F12" s="477" t="s">
        <v>110</v>
      </c>
      <c r="G12" s="478"/>
      <c r="H12" s="205" t="s">
        <v>138</v>
      </c>
      <c r="I12" s="478" t="s">
        <v>139</v>
      </c>
      <c r="J12" s="479"/>
      <c r="K12" s="319" t="s">
        <v>236</v>
      </c>
    </row>
    <row r="13" spans="2:15" ht="15" customHeight="1">
      <c r="B13" s="71" t="s">
        <v>141</v>
      </c>
      <c r="C13" s="72" t="s">
        <v>52</v>
      </c>
      <c r="D13" s="449">
        <f>SUMIFS(Table2[All currently registered regular patients aged 18+],Table2[OrgID],C13,Table2[Rel_D],Details!$D$61)</f>
        <v>3093</v>
      </c>
      <c r="E13" s="431" t="e">
        <f>SUMIFS(#REF!,#REF!,B13,#REF!,Details!$D$61)</f>
        <v>#REF!</v>
      </c>
      <c r="F13" s="461">
        <f>SUMIFS(Table2[F. Patients on anticoagulants or antiplatelets 6m],Table2[OrgID],C13,Table2[Rel_D],B10)</f>
        <v>268</v>
      </c>
      <c r="G13" s="462" t="e">
        <f>SUMIFS(#REF!,#REF!,Details!#REF!,#REF!,Details!$D$61)</f>
        <v>#REF!</v>
      </c>
      <c r="H13" s="15">
        <f>SUMIFS(Table2[Not on PPI 6m],Table2[OrgID],$C13,Table2[Rel_D],$B$10)</f>
        <v>163</v>
      </c>
      <c r="I13" s="68">
        <f>SUMIFS(Table2[14 Not on PPI, reviewed],Table2[OrgID],$C13,Table2[Rel_D],$B$10)</f>
        <v>6</v>
      </c>
      <c r="J13" s="82">
        <f t="shared" ref="J13:J59" si="0">IFERROR(I13/H13, "-")</f>
        <v>3.6809815950920248E-2</v>
      </c>
      <c r="K13" s="355">
        <v>0.15</v>
      </c>
      <c r="L13" s="5"/>
      <c r="M13" s="5"/>
      <c r="N13" s="285"/>
    </row>
    <row r="14" spans="2:15" ht="15" customHeight="1">
      <c r="B14" s="73" t="s">
        <v>142</v>
      </c>
      <c r="C14" s="74" t="s">
        <v>54</v>
      </c>
      <c r="D14" s="450">
        <f>SUMIFS(Table2[All currently registered regular patients aged 18+],Table2[OrgID],C14,Table2[Rel_D],Details!$D$61)</f>
        <v>6563</v>
      </c>
      <c r="E14" s="433" t="e">
        <f>SUMIFS(#REF!,#REF!,B14,#REF!,Details!$D$61)</f>
        <v>#REF!</v>
      </c>
      <c r="F14" s="433">
        <f>SUMIFS(Table2[F. Patients on anticoagulants or antiplatelets 6m],Table2[OrgID],$C14,Table2[Rel_D],$B$10)</f>
        <v>398</v>
      </c>
      <c r="G14" s="434" t="e">
        <f>SUMIFS(#REF!,#REF!,Details!#REF!,#REF!,Details!$D$61)</f>
        <v>#REF!</v>
      </c>
      <c r="H14" s="2">
        <f>SUMIFS(Table2[Not on PPI 6m],Table2[OrgID],$C14,Table2[Rel_D],$B$10)</f>
        <v>203</v>
      </c>
      <c r="I14" s="69">
        <f>SUMIFS(Table2[14 Not on PPI, reviewed],Table2[OrgID],$C14,Table2[Rel_D],$B$10)</f>
        <v>9</v>
      </c>
      <c r="J14" s="84">
        <f t="shared" si="0"/>
        <v>4.4334975369458129E-2</v>
      </c>
      <c r="K14" s="356">
        <v>0.15</v>
      </c>
      <c r="L14" s="5"/>
      <c r="M14" s="5"/>
      <c r="N14" s="5"/>
      <c r="O14" s="5"/>
    </row>
    <row r="15" spans="2:15" ht="15" customHeight="1">
      <c r="B15" s="73" t="s">
        <v>34</v>
      </c>
      <c r="C15" s="74" t="s">
        <v>57</v>
      </c>
      <c r="D15" s="450">
        <f>IF(COUNTIFS(Table2[OrgID],C15,Table2[Rel_D],Details!$D$61) =0,"-",SUMIFS(Table2[All currently registered regular patients aged 18+],Table2[OrgID],C15,Table2[Rel_D],Details!$D$61))</f>
        <v>4056</v>
      </c>
      <c r="E15" s="433" t="e">
        <f>SUMIFS(#REF!,#REF!,B15,#REF!,Details!$D$61)</f>
        <v>#REF!</v>
      </c>
      <c r="F15" s="433">
        <f>SUMIFS(Table2[F. Patients on anticoagulants or antiplatelets 6m],Table2[OrgID],$C15,Table2[Rel_D],$B$10)</f>
        <v>258</v>
      </c>
      <c r="G15" s="434" t="e">
        <f>SUMIFS(#REF!,#REF!,Details!#REF!,#REF!,Details!$D$61)</f>
        <v>#REF!</v>
      </c>
      <c r="H15" s="2">
        <f>SUMIFS(Table2[Not on PPI 6m],Table2[OrgID],$C15,Table2[Rel_D],$B$10)</f>
        <v>97</v>
      </c>
      <c r="I15" s="69">
        <f>SUMIFS(Table2[14 Not on PPI, reviewed],Table2[OrgID],$C15,Table2[Rel_D],$B$10)</f>
        <v>1</v>
      </c>
      <c r="J15" s="84">
        <f t="shared" si="0"/>
        <v>1.0309278350515464E-2</v>
      </c>
      <c r="K15" s="356">
        <v>0.15</v>
      </c>
      <c r="L15" s="4"/>
      <c r="M15" s="4"/>
      <c r="N15" s="4"/>
      <c r="O15" s="4"/>
    </row>
    <row r="16" spans="2:15">
      <c r="B16" s="73" t="s">
        <v>224</v>
      </c>
      <c r="C16" s="74" t="s">
        <v>61</v>
      </c>
      <c r="D16" s="450">
        <f>SUMIFS(Table2[All currently registered regular patients aged 18+],Table2[OrgID],C16,Table2[Rel_D],Details!$D$61)</f>
        <v>7294</v>
      </c>
      <c r="E16" s="433" t="e">
        <f>SUMIFS(#REF!,#REF!,B16,#REF!,Details!$D$61)</f>
        <v>#REF!</v>
      </c>
      <c r="F16" s="433">
        <f>SUMIFS(Table2[F. Patients on anticoagulants or antiplatelets 6m],Table2[OrgID],$C16,Table2[Rel_D],$B$10)</f>
        <v>269</v>
      </c>
      <c r="G16" s="434" t="e">
        <f>SUMIFS(#REF!,#REF!,Details!#REF!,#REF!,Details!$D$61)</f>
        <v>#REF!</v>
      </c>
      <c r="H16" s="2">
        <f>SUMIFS(Table2[Not on PPI 6m],Table2[OrgID],$C16,Table2[Rel_D],$B$10)</f>
        <v>143</v>
      </c>
      <c r="I16" s="69">
        <f>SUMIFS(Table2[14 Not on PPI, reviewed],Table2[OrgID],$C16,Table2[Rel_D],$B$10)</f>
        <v>10</v>
      </c>
      <c r="J16" s="84">
        <f t="shared" si="0"/>
        <v>6.9930069930069935E-2</v>
      </c>
      <c r="K16" s="356">
        <v>0.15</v>
      </c>
    </row>
    <row r="17" spans="2:11">
      <c r="B17" s="73" t="s">
        <v>144</v>
      </c>
      <c r="C17" s="74" t="s">
        <v>64</v>
      </c>
      <c r="D17" s="450">
        <f>SUMIFS(Table2[All currently registered regular patients aged 18+],Table2[OrgID],C17,Table2[Rel_D],Details!$D$61)</f>
        <v>5457</v>
      </c>
      <c r="E17" s="433" t="e">
        <f>SUMIFS(#REF!,#REF!,B17,#REF!,Details!$D$61)</f>
        <v>#REF!</v>
      </c>
      <c r="F17" s="433">
        <f>SUMIFS(Table2[F. Patients on anticoagulants or antiplatelets 6m],Table2[OrgID],$C17,Table2[Rel_D],$B$10)</f>
        <v>179</v>
      </c>
      <c r="G17" s="434" t="e">
        <f>SUMIFS(#REF!,#REF!,Details!#REF!,#REF!,Details!$D$61)</f>
        <v>#REF!</v>
      </c>
      <c r="H17" s="2">
        <f>SUMIFS(Table2[Not on PPI 6m],Table2[OrgID],$C17,Table2[Rel_D],$B$10)</f>
        <v>100</v>
      </c>
      <c r="I17" s="69">
        <f>SUMIFS(Table2[14 Not on PPI, reviewed],Table2[OrgID],$C17,Table2[Rel_D],$B$10)</f>
        <v>5</v>
      </c>
      <c r="J17" s="84">
        <f t="shared" si="0"/>
        <v>0.05</v>
      </c>
      <c r="K17" s="356">
        <v>0.15</v>
      </c>
    </row>
    <row r="18" spans="2:11">
      <c r="B18" s="73" t="s">
        <v>145</v>
      </c>
      <c r="C18" s="74" t="s">
        <v>65</v>
      </c>
      <c r="D18" s="450">
        <f>SUMIFS(Table2[All currently registered regular patients aged 18+],Table2[OrgID],C18,Table2[Rel_D],Details!$D$61)</f>
        <v>4824</v>
      </c>
      <c r="E18" s="433" t="e">
        <f>SUMIFS(#REF!,#REF!,B18,#REF!,Details!$D$61)</f>
        <v>#REF!</v>
      </c>
      <c r="F18" s="433">
        <f>SUMIFS(Table2[F. Patients on anticoagulants or antiplatelets 6m],Table2[OrgID],$C18,Table2[Rel_D],$B$10)</f>
        <v>257</v>
      </c>
      <c r="G18" s="434" t="e">
        <f>SUMIFS(#REF!,#REF!,Details!#REF!,#REF!,Details!$D$61)</f>
        <v>#REF!</v>
      </c>
      <c r="H18" s="2">
        <f>SUMIFS(Table2[Not on PPI 6m],Table2[OrgID],$C18,Table2[Rel_D],$B$10)</f>
        <v>97</v>
      </c>
      <c r="I18" s="69">
        <f>SUMIFS(Table2[14 Not on PPI, reviewed],Table2[OrgID],$C18,Table2[Rel_D],$B$10)</f>
        <v>8</v>
      </c>
      <c r="J18" s="84">
        <f t="shared" si="0"/>
        <v>8.247422680412371E-2</v>
      </c>
      <c r="K18" s="356">
        <v>0.15</v>
      </c>
    </row>
    <row r="19" spans="2:11">
      <c r="B19" s="73" t="s">
        <v>146</v>
      </c>
      <c r="C19" s="74" t="s">
        <v>66</v>
      </c>
      <c r="D19" s="450">
        <f>SUMIFS(Table2[All currently registered regular patients aged 18+],Table2[OrgID],C19,Table2[Rel_D],Details!$D$61)</f>
        <v>3253</v>
      </c>
      <c r="E19" s="433" t="e">
        <f>SUMIFS(#REF!,#REF!,B19,#REF!,Details!$D$61)</f>
        <v>#REF!</v>
      </c>
      <c r="F19" s="433">
        <f>SUMIFS(Table2[F. Patients on anticoagulants or antiplatelets 6m],Table2[OrgID],$C19,Table2[Rel_D],$B$10)</f>
        <v>113</v>
      </c>
      <c r="G19" s="434" t="e">
        <f>SUMIFS(#REF!,#REF!,Details!#REF!,#REF!,Details!$D$61)</f>
        <v>#REF!</v>
      </c>
      <c r="H19" s="2">
        <f>SUMIFS(Table2[Not on PPI 6m],Table2[OrgID],$C19,Table2[Rel_D],$B$10)</f>
        <v>50</v>
      </c>
      <c r="I19" s="69">
        <f>SUMIFS(Table2[14 Not on PPI, reviewed],Table2[OrgID],$C19,Table2[Rel_D],$B$10)</f>
        <v>11</v>
      </c>
      <c r="J19" s="84">
        <f t="shared" si="0"/>
        <v>0.22</v>
      </c>
      <c r="K19" s="356">
        <v>0.15</v>
      </c>
    </row>
    <row r="20" spans="2:11" ht="15.75" thickBot="1">
      <c r="B20" s="75" t="s">
        <v>147</v>
      </c>
      <c r="C20" s="76" t="s">
        <v>58</v>
      </c>
      <c r="D20" s="455">
        <f>IF(COUNTIFS(Table2[OrgID],C20,Table2[Rel_D],Details!$D$61) =0,"-",SUMIFS(Table2[All currently registered regular patients aged 18+],Table2[OrgID],C20,Table2[Rel_D],Details!$D$61))</f>
        <v>5585</v>
      </c>
      <c r="E20" s="435" t="e">
        <f>SUMIFS(#REF!,#REF!,B20,#REF!,Details!$D$61)</f>
        <v>#REF!</v>
      </c>
      <c r="F20" s="499">
        <f>SUMIFS(Table2[F. Patients on anticoagulants or antiplatelets 6m],Table2[OrgID],$C20,Table2[Rel_D],$B$10)</f>
        <v>323</v>
      </c>
      <c r="G20" s="500" t="e">
        <f>SUMIFS(#REF!,#REF!,Details!#REF!,#REF!,Details!$D$61)</f>
        <v>#REF!</v>
      </c>
      <c r="H20" s="3">
        <f>SUMIFS(Table2[Not on PPI 6m],Table2[OrgID],$C20,Table2[Rel_D],$B$10)</f>
        <v>129</v>
      </c>
      <c r="I20" s="3">
        <f>SUMIFS(Table2[14 Not on PPI, reviewed],Table2[OrgID],$C20,Table2[Rel_D],$B$10)</f>
        <v>0</v>
      </c>
      <c r="J20" s="84">
        <f t="shared" si="0"/>
        <v>0</v>
      </c>
      <c r="K20" s="357">
        <v>0.15</v>
      </c>
    </row>
    <row r="21" spans="2:11" ht="15.75" thickBot="1">
      <c r="B21" s="17" t="s">
        <v>148</v>
      </c>
      <c r="C21" s="18" t="s">
        <v>67</v>
      </c>
      <c r="D21" s="447">
        <f t="shared" ref="D21:G21" si="1">SUM(D13:D20)</f>
        <v>40125</v>
      </c>
      <c r="E21" s="448" t="e">
        <f t="shared" si="1"/>
        <v>#REF!</v>
      </c>
      <c r="F21" s="441">
        <f t="shared" si="1"/>
        <v>2065</v>
      </c>
      <c r="G21" s="442" t="e">
        <f t="shared" si="1"/>
        <v>#REF!</v>
      </c>
      <c r="H21" s="144">
        <f>SUM(H13:H20)</f>
        <v>982</v>
      </c>
      <c r="I21" s="144">
        <f>SUM(I13:I20)</f>
        <v>50</v>
      </c>
      <c r="J21" s="315">
        <f t="shared" si="0"/>
        <v>5.0916496945010187E-2</v>
      </c>
      <c r="K21" s="353">
        <v>0.15</v>
      </c>
    </row>
    <row r="22" spans="2:11">
      <c r="B22" s="77" t="s">
        <v>149</v>
      </c>
      <c r="C22" s="78" t="s">
        <v>56</v>
      </c>
      <c r="D22" s="449">
        <f>IF(COUNTIFS(Table2[OrgID],C22,Table2[Rel_D],Details!$D$61) =0,"-",SUMIFS(Table2[All currently registered regular patients aged 18+],Table2[OrgID],C22,Table2[Rel_D],Details!$D$61))</f>
        <v>12435</v>
      </c>
      <c r="E22" s="431" t="e">
        <f>SUMIFS(#REF!,#REF!,B22,#REF!,Details!$D$61)</f>
        <v>#REF!</v>
      </c>
      <c r="F22" s="443">
        <f>SUMIFS(Table2[F. Patients on anticoagulants or antiplatelets 6m],Table2[OrgID],$C22,Table2[Rel_D],$B$10)</f>
        <v>820</v>
      </c>
      <c r="G22" s="444" t="e">
        <f>SUMIFS(#REF!,#REF!,Details!#REF!,#REF!,Details!$D$61)</f>
        <v>#REF!</v>
      </c>
      <c r="H22" s="12">
        <f>SUMIFS(Table2[Not on PPI 6m],Table2[OrgID],$C22,Table2[Rel_D],$B$10)</f>
        <v>430</v>
      </c>
      <c r="I22" s="12">
        <f>SUMIFS(Table2[14 Not on PPI, reviewed],Table2[OrgID],$C22,Table2[Rel_D],$B$10)</f>
        <v>2</v>
      </c>
      <c r="J22" s="84">
        <f t="shared" si="0"/>
        <v>4.6511627906976744E-3</v>
      </c>
      <c r="K22" s="358">
        <v>0.15</v>
      </c>
    </row>
    <row r="23" spans="2:11">
      <c r="B23" s="73" t="s">
        <v>150</v>
      </c>
      <c r="C23" s="74" t="s">
        <v>69</v>
      </c>
      <c r="D23" s="450">
        <f>SUMIFS(Table2[All currently registered regular patients aged 18+],Table2[OrgID],C23,Table2[Rel_D],Details!$D$61)</f>
        <v>7143</v>
      </c>
      <c r="E23" s="433" t="e">
        <f>SUMIFS(#REF!,#REF!,B23,#REF!,Details!$D$61)</f>
        <v>#REF!</v>
      </c>
      <c r="F23" s="433">
        <f>SUMIFS(Table2[F. Patients on anticoagulants or antiplatelets 6m],Table2[OrgID],$C23,Table2[Rel_D],$B$10)</f>
        <v>519</v>
      </c>
      <c r="G23" s="434" t="e">
        <f>SUMIFS(#REF!,#REF!,Details!#REF!,#REF!,Details!$D$61)</f>
        <v>#REF!</v>
      </c>
      <c r="H23" s="2">
        <f>SUMIFS(Table2[Not on PPI 6m],Table2[OrgID],$C23,Table2[Rel_D],$B$10)</f>
        <v>172</v>
      </c>
      <c r="I23" s="69">
        <f>SUMIFS(Table2[14 Not on PPI, reviewed],Table2[OrgID],$C23,Table2[Rel_D],$B$10)</f>
        <v>16</v>
      </c>
      <c r="J23" s="84">
        <f t="shared" si="0"/>
        <v>9.3023255813953487E-2</v>
      </c>
      <c r="K23" s="356">
        <v>0.15</v>
      </c>
    </row>
    <row r="24" spans="2:11">
      <c r="B24" s="73" t="s">
        <v>151</v>
      </c>
      <c r="C24" s="74" t="s">
        <v>70</v>
      </c>
      <c r="D24" s="450">
        <f>SUMIFS(Table2[All currently registered regular patients aged 18+],Table2[OrgID],C24,Table2[Rel_D],Details!$D$61)</f>
        <v>10588</v>
      </c>
      <c r="E24" s="433" t="e">
        <f>SUMIFS(#REF!,#REF!,B24,#REF!,Details!$D$61)</f>
        <v>#REF!</v>
      </c>
      <c r="F24" s="433">
        <f>SUMIFS(Table2[F. Patients on anticoagulants or antiplatelets 6m],Table2[OrgID],$C24,Table2[Rel_D],$B$10)</f>
        <v>825</v>
      </c>
      <c r="G24" s="434" t="e">
        <f>SUMIFS(#REF!,#REF!,Details!#REF!,#REF!,Details!$D$61)</f>
        <v>#REF!</v>
      </c>
      <c r="H24" s="2">
        <f>SUMIFS(Table2[Not on PPI 6m],Table2[OrgID],$C24,Table2[Rel_D],$B$10)</f>
        <v>373</v>
      </c>
      <c r="I24" s="69">
        <f>SUMIFS(Table2[14 Not on PPI, reviewed],Table2[OrgID],$C24,Table2[Rel_D],$B$10)</f>
        <v>94</v>
      </c>
      <c r="J24" s="84">
        <f t="shared" si="0"/>
        <v>0.25201072386058981</v>
      </c>
      <c r="K24" s="356">
        <v>0.15</v>
      </c>
    </row>
    <row r="25" spans="2:11">
      <c r="B25" s="73" t="s">
        <v>152</v>
      </c>
      <c r="C25" s="74" t="s">
        <v>71</v>
      </c>
      <c r="D25" s="450">
        <f>SUMIFS(Table2[All currently registered regular patients aged 18+],Table2[OrgID],C25,Table2[Rel_D],Details!$D$61)</f>
        <v>5687</v>
      </c>
      <c r="E25" s="433" t="e">
        <f>SUMIFS(#REF!,#REF!,B25,#REF!,Details!$D$61)</f>
        <v>#REF!</v>
      </c>
      <c r="F25" s="433">
        <f>SUMIFS(Table2[F. Patients on anticoagulants or antiplatelets 6m],Table2[OrgID],$C25,Table2[Rel_D],$B$10)</f>
        <v>488</v>
      </c>
      <c r="G25" s="434" t="e">
        <f>SUMIFS(#REF!,#REF!,Details!#REF!,#REF!,Details!$D$61)</f>
        <v>#REF!</v>
      </c>
      <c r="H25" s="2">
        <f>SUMIFS(Table2[Not on PPI 6m],Table2[OrgID],$C25,Table2[Rel_D],$B$10)</f>
        <v>291</v>
      </c>
      <c r="I25" s="69">
        <f>SUMIFS(Table2[14 Not on PPI, reviewed],Table2[OrgID],$C25,Table2[Rel_D],$B$10)</f>
        <v>10</v>
      </c>
      <c r="J25" s="84">
        <f t="shared" si="0"/>
        <v>3.4364261168384883E-2</v>
      </c>
      <c r="K25" s="356">
        <v>0.15</v>
      </c>
    </row>
    <row r="26" spans="2:11" ht="15.75" thickBot="1">
      <c r="B26" s="75" t="s">
        <v>153</v>
      </c>
      <c r="C26" s="76" t="s">
        <v>72</v>
      </c>
      <c r="D26" s="455">
        <f>SUMIFS(Table2[All currently registered regular patients aged 18+],Table2[OrgID],C26,Table2[Rel_D],Details!$D$61)</f>
        <v>6045</v>
      </c>
      <c r="E26" s="435" t="e">
        <f>SUMIFS(#REF!,#REF!,B26,#REF!,Details!$D$61)</f>
        <v>#REF!</v>
      </c>
      <c r="F26" s="499">
        <f>SUMIFS(Table2[F. Patients on anticoagulants or antiplatelets 6m],Table2[OrgID],$C26,Table2[Rel_D],$B$10)</f>
        <v>400</v>
      </c>
      <c r="G26" s="500" t="e">
        <f>SUMIFS(#REF!,#REF!,Details!#REF!,#REF!,Details!$D$61)</f>
        <v>#REF!</v>
      </c>
      <c r="H26" s="3">
        <f>SUMIFS(Table2[Not on PPI 6m],Table2[OrgID],$C26,Table2[Rel_D],$B$10)</f>
        <v>208</v>
      </c>
      <c r="I26" s="70">
        <f>SUMIFS(Table2[14 Not on PPI, reviewed],Table2[OrgID],$C26,Table2[Rel_D],$B$10)</f>
        <v>21</v>
      </c>
      <c r="J26" s="86">
        <f t="shared" si="0"/>
        <v>0.10096153846153846</v>
      </c>
      <c r="K26" s="357">
        <v>0.15</v>
      </c>
    </row>
    <row r="27" spans="2:11" ht="15.75" thickBot="1">
      <c r="B27" s="17" t="s">
        <v>154</v>
      </c>
      <c r="C27" s="18" t="s">
        <v>74</v>
      </c>
      <c r="D27" s="447">
        <f>SUM(D22:D26)</f>
        <v>41898</v>
      </c>
      <c r="E27" s="448" t="e">
        <f t="shared" ref="E27:G27" si="2">SUM(E22:E26)</f>
        <v>#REF!</v>
      </c>
      <c r="F27" s="441">
        <f t="shared" si="2"/>
        <v>3052</v>
      </c>
      <c r="G27" s="442" t="e">
        <f t="shared" si="2"/>
        <v>#REF!</v>
      </c>
      <c r="H27" s="144">
        <f>SUM(H22:H26)</f>
        <v>1474</v>
      </c>
      <c r="I27" s="145">
        <f>SUM(I22:I26)</f>
        <v>143</v>
      </c>
      <c r="J27" s="316">
        <f t="shared" si="0"/>
        <v>9.7014925373134331E-2</v>
      </c>
      <c r="K27" s="353">
        <v>0.15</v>
      </c>
    </row>
    <row r="28" spans="2:11">
      <c r="B28" s="77" t="s">
        <v>155</v>
      </c>
      <c r="C28" s="78" t="s">
        <v>75</v>
      </c>
      <c r="D28" s="449">
        <f>SUMIFS(Table2[All currently registered regular patients aged 18+],Table2[OrgID],C28,Table2[Rel_D],Details!$D$61)</f>
        <v>7813</v>
      </c>
      <c r="E28" s="431" t="e">
        <f>SUMIFS(#REF!,#REF!,B28,#REF!,Details!$D$61)</f>
        <v>#REF!</v>
      </c>
      <c r="F28" s="443">
        <f>SUMIFS(Table2[F. Patients on anticoagulants or antiplatelets 6m],Table2[OrgID],$C28,Table2[Rel_D],$B$10)</f>
        <v>509</v>
      </c>
      <c r="G28" s="444" t="e">
        <f>SUMIFS(#REF!,#REF!,Details!#REF!,#REF!,Details!$D$61)</f>
        <v>#REF!</v>
      </c>
      <c r="H28" s="12">
        <f>SUMIFS(Table2[Not on PPI 6m],Table2[OrgID],$C28,Table2[Rel_D],$B$10)</f>
        <v>226</v>
      </c>
      <c r="I28" s="80">
        <f>SUMIFS(Table2[14 Not on PPI, reviewed],Table2[OrgID],$C28,Table2[Rel_D],$B$10)</f>
        <v>58</v>
      </c>
      <c r="J28" s="88">
        <f t="shared" si="0"/>
        <v>0.25663716814159293</v>
      </c>
      <c r="K28" s="358">
        <v>0.15</v>
      </c>
    </row>
    <row r="29" spans="2:11">
      <c r="B29" s="73" t="s">
        <v>156</v>
      </c>
      <c r="C29" s="74" t="s">
        <v>76</v>
      </c>
      <c r="D29" s="450">
        <f>SUMIFS(Table2[All currently registered regular patients aged 18+],Table2[OrgID],C29,Table2[Rel_D],Details!$D$61)</f>
        <v>8209</v>
      </c>
      <c r="E29" s="433" t="e">
        <f>SUMIFS(#REF!,#REF!,B29,#REF!,Details!$D$61)</f>
        <v>#REF!</v>
      </c>
      <c r="F29" s="433">
        <f>SUMIFS(Table2[F. Patients on anticoagulants or antiplatelets 6m],Table2[OrgID],$C29,Table2[Rel_D],$B$10)</f>
        <v>445</v>
      </c>
      <c r="G29" s="434" t="e">
        <f>SUMIFS(#REF!,#REF!,Details!#REF!,#REF!,Details!$D$61)</f>
        <v>#REF!</v>
      </c>
      <c r="H29" s="2">
        <f>SUMIFS(Table2[Not on PPI 6m],Table2[OrgID],$C29,Table2[Rel_D],$B$10)</f>
        <v>171</v>
      </c>
      <c r="I29" s="69">
        <f>SUMIFS(Table2[14 Not on PPI, reviewed],Table2[OrgID],$C29,Table2[Rel_D],$B$10)</f>
        <v>60</v>
      </c>
      <c r="J29" s="84">
        <f t="shared" si="0"/>
        <v>0.35087719298245612</v>
      </c>
      <c r="K29" s="356">
        <v>0.15</v>
      </c>
    </row>
    <row r="30" spans="2:11" ht="15.75" thickBot="1">
      <c r="B30" s="75" t="s">
        <v>157</v>
      </c>
      <c r="C30" s="76" t="s">
        <v>59</v>
      </c>
      <c r="D30" s="455">
        <f>IF(COUNTIFS(Table2[OrgID],C30,Table2[Rel_D],Details!$D$61) =0,"-",SUMIFS(Table2[All currently registered regular patients aged 18+],Table2[OrgID],C30,Table2[Rel_D],Details!$D$61))</f>
        <v>11775</v>
      </c>
      <c r="E30" s="435" t="e">
        <f>SUMIFS(#REF!,#REF!,B30,#REF!,Details!$D$61)</f>
        <v>#REF!</v>
      </c>
      <c r="F30" s="499">
        <f>SUMIFS(Table2[F. Patients on anticoagulants or antiplatelets 6m],Table2[OrgID],$C30,Table2[Rel_D],$B$10)</f>
        <v>514</v>
      </c>
      <c r="G30" s="500" t="e">
        <f>SUMIFS(#REF!,#REF!,Details!#REF!,#REF!,Details!$D$61)</f>
        <v>#REF!</v>
      </c>
      <c r="H30" s="3">
        <f>SUMIFS(Table2[Not on PPI 6m],Table2[OrgID],$C30,Table2[Rel_D],$B$10)</f>
        <v>238</v>
      </c>
      <c r="I30" s="3">
        <f>SUMIFS(Table2[14 Not on PPI, reviewed],Table2[OrgID],$C30,Table2[Rel_D],$B$10)</f>
        <v>3</v>
      </c>
      <c r="J30" s="84">
        <f t="shared" si="0"/>
        <v>1.2605042016806723E-2</v>
      </c>
      <c r="K30" s="357">
        <v>0.15</v>
      </c>
    </row>
    <row r="31" spans="2:11" ht="15.75" thickBot="1">
      <c r="B31" s="17" t="s">
        <v>158</v>
      </c>
      <c r="C31" s="18" t="s">
        <v>77</v>
      </c>
      <c r="D31" s="447">
        <f>SUM(D28:D30)</f>
        <v>27797</v>
      </c>
      <c r="E31" s="448" t="e">
        <f t="shared" ref="E31:G31" si="3">SUM(E28:E30)</f>
        <v>#REF!</v>
      </c>
      <c r="F31" s="441">
        <f t="shared" si="3"/>
        <v>1468</v>
      </c>
      <c r="G31" s="442" t="e">
        <f t="shared" si="3"/>
        <v>#REF!</v>
      </c>
      <c r="H31" s="144">
        <f>SUM(H28:H30)</f>
        <v>635</v>
      </c>
      <c r="I31" s="145">
        <f>SUM(I28:I30)</f>
        <v>121</v>
      </c>
      <c r="J31" s="315">
        <f t="shared" si="0"/>
        <v>0.19055118110236222</v>
      </c>
      <c r="K31" s="353">
        <v>0.15</v>
      </c>
    </row>
    <row r="32" spans="2:11">
      <c r="B32" s="77" t="s">
        <v>159</v>
      </c>
      <c r="C32" s="78" t="s">
        <v>78</v>
      </c>
      <c r="D32" s="449">
        <f>SUMIFS(Table2[All currently registered regular patients aged 18+],Table2[OrgID],C32,Table2[Rel_D],Details!$D$61)</f>
        <v>11555</v>
      </c>
      <c r="E32" s="431" t="e">
        <f>SUMIFS(#REF!,#REF!,B32,#REF!,Details!$D$61)</f>
        <v>#REF!</v>
      </c>
      <c r="F32" s="443">
        <f>SUMIFS(Table2[F. Patients on anticoagulants or antiplatelets 6m],Table2[OrgID],$C32,Table2[Rel_D],$B$10)</f>
        <v>555</v>
      </c>
      <c r="G32" s="444" t="e">
        <f>SUMIFS(#REF!,#REF!,Details!#REF!,#REF!,Details!$D$61)</f>
        <v>#REF!</v>
      </c>
      <c r="H32" s="12">
        <f>SUMIFS(Table2[Not on PPI 6m],Table2[OrgID],$C32,Table2[Rel_D],$B$10)</f>
        <v>218</v>
      </c>
      <c r="I32" s="80">
        <f>SUMIFS(Table2[14 Not on PPI, reviewed],Table2[OrgID],$C32,Table2[Rel_D],$B$10)</f>
        <v>4</v>
      </c>
      <c r="J32" s="88">
        <f t="shared" si="0"/>
        <v>1.834862385321101E-2</v>
      </c>
      <c r="K32" s="358">
        <v>0.15</v>
      </c>
    </row>
    <row r="33" spans="2:11">
      <c r="B33" s="73" t="s">
        <v>225</v>
      </c>
      <c r="C33" s="76" t="s">
        <v>79</v>
      </c>
      <c r="D33" s="450">
        <f>SUMIFS(Table2[All currently registered regular patients aged 18+],Table2[OrgID],C33,Table2[Rel_D],Details!$D$61)</f>
        <v>8734</v>
      </c>
      <c r="E33" s="433" t="e">
        <f>SUMIFS(#REF!,#REF!,B33,#REF!,Details!$D$61)</f>
        <v>#REF!</v>
      </c>
      <c r="F33" s="433">
        <f>SUMIFS(Table2[F. Patients on anticoagulants or antiplatelets 6m],Table2[OrgID],$C33,Table2[Rel_D],$B$10)</f>
        <v>276</v>
      </c>
      <c r="G33" s="434" t="e">
        <f>SUMIFS(#REF!,#REF!,Details!#REF!,#REF!,Details!$D$61)</f>
        <v>#REF!</v>
      </c>
      <c r="H33" s="2">
        <f>SUMIFS(Table2[Not on PPI 6m],Table2[OrgID],$C33,Table2[Rel_D],$B$10)</f>
        <v>143</v>
      </c>
      <c r="I33" s="69">
        <f>SUMIFS(Table2[14 Not on PPI, reviewed],Table2[OrgID],$C33,Table2[Rel_D],$B$10)</f>
        <v>3</v>
      </c>
      <c r="J33" s="86">
        <f t="shared" si="0"/>
        <v>2.097902097902098E-2</v>
      </c>
      <c r="K33" s="356">
        <v>0.15</v>
      </c>
    </row>
    <row r="34" spans="2:11">
      <c r="B34" s="73" t="s">
        <v>161</v>
      </c>
      <c r="C34" s="74" t="s">
        <v>80</v>
      </c>
      <c r="D34" s="450">
        <f>SUMIFS(Table2[All currently registered regular patients aged 18+],Table2[OrgID],C34,Table2[Rel_D],Details!$D$61)</f>
        <v>5550</v>
      </c>
      <c r="E34" s="433" t="e">
        <f>SUMIFS(#REF!,#REF!,B34,#REF!,Details!$D$61)</f>
        <v>#REF!</v>
      </c>
      <c r="F34" s="433">
        <f>SUMIFS(Table2[F. Patients on anticoagulants or antiplatelets 6m],Table2[OrgID],$C34,Table2[Rel_D],$B$10)</f>
        <v>206</v>
      </c>
      <c r="G34" s="434" t="e">
        <f>SUMIFS(#REF!,#REF!,Details!#REF!,#REF!,Details!$D$61)</f>
        <v>#REF!</v>
      </c>
      <c r="H34" s="2">
        <f>SUMIFS(Table2[Not on PPI 6m],Table2[OrgID],$C34,Table2[Rel_D],$B$10)</f>
        <v>97</v>
      </c>
      <c r="I34" s="69">
        <f>SUMIFS(Table2[14 Not on PPI, reviewed],Table2[OrgID],$C34,Table2[Rel_D],$B$10)</f>
        <v>1</v>
      </c>
      <c r="J34" s="84">
        <f t="shared" si="0"/>
        <v>1.0309278350515464E-2</v>
      </c>
      <c r="K34" s="356">
        <v>0.15</v>
      </c>
    </row>
    <row r="35" spans="2:11">
      <c r="B35" s="73" t="s">
        <v>162</v>
      </c>
      <c r="C35" s="74" t="s">
        <v>81</v>
      </c>
      <c r="D35" s="450">
        <f>SUMIFS(Table2[All currently registered regular patients aged 18+],Table2[OrgID],C35,Table2[Rel_D],Details!$D$61)</f>
        <v>2808</v>
      </c>
      <c r="E35" s="433" t="e">
        <f>SUMIFS(#REF!,#REF!,B35,#REF!,Details!$D$61)</f>
        <v>#REF!</v>
      </c>
      <c r="F35" s="433">
        <f>SUMIFS(Table2[F. Patients on anticoagulants or antiplatelets 6m],Table2[OrgID],$C35,Table2[Rel_D],$B$10)</f>
        <v>135</v>
      </c>
      <c r="G35" s="434" t="e">
        <f>SUMIFS(#REF!,#REF!,Details!#REF!,#REF!,Details!$D$61)</f>
        <v>#REF!</v>
      </c>
      <c r="H35" s="2">
        <f>SUMIFS(Table2[Not on PPI 6m],Table2[OrgID],$C35,Table2[Rel_D],$B$10)</f>
        <v>54</v>
      </c>
      <c r="I35" s="69">
        <f>SUMIFS(Table2[14 Not on PPI, reviewed],Table2[OrgID],$C35,Table2[Rel_D],$B$10)</f>
        <v>4</v>
      </c>
      <c r="J35" s="84">
        <f t="shared" si="0"/>
        <v>7.407407407407407E-2</v>
      </c>
      <c r="K35" s="356">
        <v>0.15</v>
      </c>
    </row>
    <row r="36" spans="2:11">
      <c r="B36" s="73" t="s">
        <v>163</v>
      </c>
      <c r="C36" s="74" t="s">
        <v>82</v>
      </c>
      <c r="D36" s="450">
        <f>SUMIFS(Table2[All currently registered regular patients aged 18+],Table2[OrgID],C36,Table2[Rel_D],Details!$D$61)</f>
        <v>6361</v>
      </c>
      <c r="E36" s="433" t="e">
        <f>SUMIFS(#REF!,#REF!,B36,#REF!,Details!$D$61)</f>
        <v>#REF!</v>
      </c>
      <c r="F36" s="433">
        <f>SUMIFS(Table2[F. Patients on anticoagulants or antiplatelets 6m],Table2[OrgID],$C36,Table2[Rel_D],$B$10)</f>
        <v>318</v>
      </c>
      <c r="G36" s="434" t="e">
        <f>SUMIFS(#REF!,#REF!,Details!#REF!,#REF!,Details!$D$61)</f>
        <v>#REF!</v>
      </c>
      <c r="H36" s="2">
        <f>SUMIFS(Table2[Not on PPI 6m],Table2[OrgID],$C36,Table2[Rel_D],$B$10)</f>
        <v>133</v>
      </c>
      <c r="I36" s="69">
        <f>SUMIFS(Table2[14 Not on PPI, reviewed],Table2[OrgID],$C36,Table2[Rel_D],$B$10)</f>
        <v>0</v>
      </c>
      <c r="J36" s="84">
        <f t="shared" si="0"/>
        <v>0</v>
      </c>
      <c r="K36" s="356">
        <v>0.15</v>
      </c>
    </row>
    <row r="37" spans="2:11">
      <c r="B37" s="73" t="s">
        <v>164</v>
      </c>
      <c r="C37" s="74" t="s">
        <v>83</v>
      </c>
      <c r="D37" s="450">
        <f>SUMIFS(Table2[All currently registered regular patients aged 18+],Table2[OrgID],C37,Table2[Rel_D],Details!$D$61)</f>
        <v>4175</v>
      </c>
      <c r="E37" s="433" t="e">
        <f>SUMIFS(#REF!,#REF!,B37,#REF!,Details!$D$61)</f>
        <v>#REF!</v>
      </c>
      <c r="F37" s="433">
        <f>SUMIFS(Table2[F. Patients on anticoagulants or antiplatelets 6m],Table2[OrgID],$C37,Table2[Rel_D],$B$10)</f>
        <v>210</v>
      </c>
      <c r="G37" s="434" t="e">
        <f>SUMIFS(#REF!,#REF!,Details!#REF!,#REF!,Details!$D$61)</f>
        <v>#REF!</v>
      </c>
      <c r="H37" s="2">
        <f>SUMIFS(Table2[Not on PPI 6m],Table2[OrgID],$C37,Table2[Rel_D],$B$10)</f>
        <v>114</v>
      </c>
      <c r="I37" s="69">
        <f>SUMIFS(Table2[14 Not on PPI, reviewed],Table2[OrgID],$C37,Table2[Rel_D],$B$10)</f>
        <v>1</v>
      </c>
      <c r="J37" s="84">
        <f t="shared" si="0"/>
        <v>8.771929824561403E-3</v>
      </c>
      <c r="K37" s="356">
        <v>0.15</v>
      </c>
    </row>
    <row r="38" spans="2:11" ht="15.75" thickBot="1">
      <c r="B38" s="75" t="s">
        <v>165</v>
      </c>
      <c r="C38" s="76" t="s">
        <v>63</v>
      </c>
      <c r="D38" s="455">
        <f>IF(COUNTIFS(Table2[OrgID],C38,Table2[Rel_D],Details!$D$61) =0,"-",SUMIFS(Table2[All currently registered regular patients aged 18+],Table2[OrgID],C38,Table2[Rel_D],Details!$D$61))</f>
        <v>7767</v>
      </c>
      <c r="E38" s="435" t="e">
        <f>SUMIFS(#REF!,#REF!,B38,#REF!,Details!$D$61)</f>
        <v>#REF!</v>
      </c>
      <c r="F38" s="499">
        <f>SUMIFS(Table2[F. Patients on anticoagulants or antiplatelets 6m],Table2[OrgID],$C38,Table2[Rel_D],$B$10)</f>
        <v>461</v>
      </c>
      <c r="G38" s="500" t="e">
        <f>SUMIFS(#REF!,#REF!,Details!#REF!,#REF!,Details!$D$61)</f>
        <v>#REF!</v>
      </c>
      <c r="H38" s="2">
        <f>SUMIFS(Table2[Not on PPI 6m],Table2[OrgID],$C38,Table2[Rel_D],$B$10)</f>
        <v>219</v>
      </c>
      <c r="I38" s="69">
        <f>SUMIFS(Table2[14 Not on PPI, reviewed],Table2[OrgID],$C38,Table2[Rel_D],$B$10)</f>
        <v>0</v>
      </c>
      <c r="J38" s="84">
        <f t="shared" si="0"/>
        <v>0</v>
      </c>
      <c r="K38" s="357">
        <v>0.15</v>
      </c>
    </row>
    <row r="39" spans="2:11" ht="15.75" thickBot="1">
      <c r="B39" s="17" t="s">
        <v>166</v>
      </c>
      <c r="C39" s="18" t="s">
        <v>84</v>
      </c>
      <c r="D39" s="447">
        <f t="shared" ref="D39:G39" si="4">SUM(D32:D38)</f>
        <v>46950</v>
      </c>
      <c r="E39" s="448" t="e">
        <f t="shared" si="4"/>
        <v>#REF!</v>
      </c>
      <c r="F39" s="441">
        <f t="shared" si="4"/>
        <v>2161</v>
      </c>
      <c r="G39" s="442" t="e">
        <f t="shared" si="4"/>
        <v>#REF!</v>
      </c>
      <c r="H39" s="144">
        <f>SUM(H32:H38)</f>
        <v>978</v>
      </c>
      <c r="I39" s="145">
        <f>SUM(I32:I38)</f>
        <v>13</v>
      </c>
      <c r="J39" s="315">
        <f t="shared" si="0"/>
        <v>1.3292433537832311E-2</v>
      </c>
      <c r="K39" s="353">
        <v>0.15</v>
      </c>
    </row>
    <row r="40" spans="2:11">
      <c r="B40" s="77" t="s">
        <v>167</v>
      </c>
      <c r="C40" s="78" t="s">
        <v>85</v>
      </c>
      <c r="D40" s="449">
        <f>SUMIFS(Table2[All currently registered regular patients aged 18+],Table2[OrgID],C40,Table2[Rel_D],Details!$D$61)</f>
        <v>5335</v>
      </c>
      <c r="E40" s="431" t="e">
        <f>SUMIFS(#REF!,#REF!,B40,#REF!,Details!$D$61)</f>
        <v>#REF!</v>
      </c>
      <c r="F40" s="443">
        <f>SUMIFS(Table2[F. Patients on anticoagulants or antiplatelets 6m],Table2[OrgID],$C40,Table2[Rel_D],$B$10)</f>
        <v>278</v>
      </c>
      <c r="G40" s="444" t="e">
        <f>SUMIFS(#REF!,#REF!,Details!#REF!,#REF!,Details!$D$61)</f>
        <v>#REF!</v>
      </c>
      <c r="H40" s="12">
        <f>SUMIFS(Table2[Not on PPI 6m],Table2[OrgID],$C40,Table2[Rel_D],$B$10)</f>
        <v>124</v>
      </c>
      <c r="I40" s="80">
        <f>SUMIFS(Table2[14 Not on PPI, reviewed],Table2[OrgID],$C40,Table2[Rel_D],$B$10)</f>
        <v>19</v>
      </c>
      <c r="J40" s="88">
        <f t="shared" si="0"/>
        <v>0.15322580645161291</v>
      </c>
      <c r="K40" s="358">
        <v>0.15</v>
      </c>
    </row>
    <row r="41" spans="2:11">
      <c r="B41" s="73" t="s">
        <v>168</v>
      </c>
      <c r="C41" s="74" t="s">
        <v>86</v>
      </c>
      <c r="D41" s="450">
        <f>SUMIFS(Table2[All currently registered regular patients aged 18+],Table2[OrgID],C41,Table2[Rel_D],Details!$D$61)</f>
        <v>1693</v>
      </c>
      <c r="E41" s="433" t="e">
        <f>SUMIFS(#REF!,#REF!,B41,#REF!,Details!$D$61)</f>
        <v>#REF!</v>
      </c>
      <c r="F41" s="433">
        <f>SUMIFS(Table2[F. Patients on anticoagulants or antiplatelets 6m],Table2[OrgID],$C41,Table2[Rel_D],$B$10)</f>
        <v>79</v>
      </c>
      <c r="G41" s="434" t="e">
        <f>SUMIFS(#REF!,#REF!,Details!#REF!,#REF!,Details!$D$61)</f>
        <v>#REF!</v>
      </c>
      <c r="H41" s="2">
        <f>SUMIFS(Table2[Not on PPI 6m],Table2[OrgID],$C41,Table2[Rel_D],$B$10)</f>
        <v>25</v>
      </c>
      <c r="I41" s="69">
        <f>SUMIFS(Table2[14 Not on PPI, reviewed],Table2[OrgID],$C41,Table2[Rel_D],$B$10)</f>
        <v>5</v>
      </c>
      <c r="J41" s="84">
        <f t="shared" si="0"/>
        <v>0.2</v>
      </c>
      <c r="K41" s="356">
        <v>0.15</v>
      </c>
    </row>
    <row r="42" spans="2:11">
      <c r="B42" s="73" t="s">
        <v>169</v>
      </c>
      <c r="C42" s="74" t="s">
        <v>87</v>
      </c>
      <c r="D42" s="450">
        <f>SUMIFS(Table2[All currently registered regular patients aged 18+],Table2[OrgID],C42,Table2[Rel_D],Details!$D$61)</f>
        <v>3066</v>
      </c>
      <c r="E42" s="433" t="e">
        <f>SUMIFS(#REF!,#REF!,B42,#REF!,Details!$D$61)</f>
        <v>#REF!</v>
      </c>
      <c r="F42" s="433">
        <f>SUMIFS(Table2[F. Patients on anticoagulants or antiplatelets 6m],Table2[OrgID],$C42,Table2[Rel_D],$B$10)</f>
        <v>135</v>
      </c>
      <c r="G42" s="434" t="e">
        <f>SUMIFS(#REF!,#REF!,Details!#REF!,#REF!,Details!$D$61)</f>
        <v>#REF!</v>
      </c>
      <c r="H42" s="2">
        <f>SUMIFS(Table2[Not on PPI 6m],Table2[OrgID],$C42,Table2[Rel_D],$B$10)</f>
        <v>84</v>
      </c>
      <c r="I42" s="69">
        <f>SUMIFS(Table2[14 Not on PPI, reviewed],Table2[OrgID],$C42,Table2[Rel_D],$B$10)</f>
        <v>5</v>
      </c>
      <c r="J42" s="84">
        <f t="shared" si="0"/>
        <v>5.9523809523809521E-2</v>
      </c>
      <c r="K42" s="356">
        <v>0.15</v>
      </c>
    </row>
    <row r="43" spans="2:11">
      <c r="B43" s="73" t="s">
        <v>170</v>
      </c>
      <c r="C43" s="74" t="s">
        <v>88</v>
      </c>
      <c r="D43" s="450">
        <f>SUMIFS(Table2[All currently registered regular patients aged 18+],Table2[OrgID],C43,Table2[Rel_D],Details!$D$61)</f>
        <v>4678</v>
      </c>
      <c r="E43" s="433" t="e">
        <f>SUMIFS(#REF!,#REF!,B43,#REF!,Details!$D$61)</f>
        <v>#REF!</v>
      </c>
      <c r="F43" s="433">
        <f>SUMIFS(Table2[F. Patients on anticoagulants or antiplatelets 6m],Table2[OrgID],$C43,Table2[Rel_D],$B$10)</f>
        <v>282</v>
      </c>
      <c r="G43" s="434" t="e">
        <f>SUMIFS(#REF!,#REF!,Details!#REF!,#REF!,Details!$D$61)</f>
        <v>#REF!</v>
      </c>
      <c r="H43" s="2">
        <f>SUMIFS(Table2[Not on PPI 6m],Table2[OrgID],$C43,Table2[Rel_D],$B$10)</f>
        <v>137</v>
      </c>
      <c r="I43" s="69">
        <f>SUMIFS(Table2[14 Not on PPI, reviewed],Table2[OrgID],$C43,Table2[Rel_D],$B$10)</f>
        <v>14</v>
      </c>
      <c r="J43" s="84">
        <f t="shared" si="0"/>
        <v>0.10218978102189781</v>
      </c>
      <c r="K43" s="356">
        <v>0.15</v>
      </c>
    </row>
    <row r="44" spans="2:11">
      <c r="B44" s="73" t="s">
        <v>171</v>
      </c>
      <c r="C44" s="74" t="s">
        <v>89</v>
      </c>
      <c r="D44" s="450">
        <f>SUMIFS(Table2[All currently registered regular patients aged 18+],Table2[OrgID],C44,Table2[Rel_D],Details!$D$61)</f>
        <v>11904</v>
      </c>
      <c r="E44" s="433" t="e">
        <f>SUMIFS(#REF!,#REF!,B44,#REF!,Details!$D$61)</f>
        <v>#REF!</v>
      </c>
      <c r="F44" s="433">
        <f>SUMIFS(Table2[F. Patients on anticoagulants or antiplatelets 6m],Table2[OrgID],$C44,Table2[Rel_D],$B$10)</f>
        <v>430</v>
      </c>
      <c r="G44" s="434" t="e">
        <f>SUMIFS(#REF!,#REF!,Details!#REF!,#REF!,Details!$D$61)</f>
        <v>#REF!</v>
      </c>
      <c r="H44" s="2">
        <f>SUMIFS(Table2[Not on PPI 6m],Table2[OrgID],$C44,Table2[Rel_D],$B$10)</f>
        <v>231</v>
      </c>
      <c r="I44" s="69">
        <f>SUMIFS(Table2[14 Not on PPI, reviewed],Table2[OrgID],$C44,Table2[Rel_D],$B$10)</f>
        <v>59</v>
      </c>
      <c r="J44" s="84">
        <f t="shared" si="0"/>
        <v>0.25541125541125542</v>
      </c>
      <c r="K44" s="356">
        <v>0.15</v>
      </c>
    </row>
    <row r="45" spans="2:11" ht="15.75" thickBot="1">
      <c r="B45" s="75" t="s">
        <v>172</v>
      </c>
      <c r="C45" s="76" t="s">
        <v>90</v>
      </c>
      <c r="D45" s="455">
        <f>SUMIFS(Table2[All currently registered regular patients aged 18+],Table2[OrgID],C45,Table2[Rel_D],Details!$D$61)</f>
        <v>2900</v>
      </c>
      <c r="E45" s="435" t="e">
        <f>SUMIFS(#REF!,#REF!,B45,#REF!,Details!$D$61)</f>
        <v>#REF!</v>
      </c>
      <c r="F45" s="499">
        <f>SUMIFS(Table2[F. Patients on anticoagulants or antiplatelets 6m],Table2[OrgID],$C45,Table2[Rel_D],$B$10)</f>
        <v>120</v>
      </c>
      <c r="G45" s="500" t="e">
        <f>SUMIFS(#REF!,#REF!,Details!#REF!,#REF!,Details!$D$61)</f>
        <v>#REF!</v>
      </c>
      <c r="H45" s="3">
        <f>SUMIFS(Table2[Not on PPI 6m],Table2[OrgID],$C45,Table2[Rel_D],$B$10)</f>
        <v>49</v>
      </c>
      <c r="I45" s="70">
        <f>SUMIFS(Table2[14 Not on PPI, reviewed],Table2[OrgID],$C45,Table2[Rel_D],$B$10)</f>
        <v>7</v>
      </c>
      <c r="J45" s="86">
        <f t="shared" si="0"/>
        <v>0.14285714285714285</v>
      </c>
      <c r="K45" s="357">
        <v>0.15</v>
      </c>
    </row>
    <row r="46" spans="2:11" ht="15.75" thickBot="1">
      <c r="B46" s="17" t="s">
        <v>173</v>
      </c>
      <c r="C46" s="18" t="s">
        <v>91</v>
      </c>
      <c r="D46" s="447">
        <f t="shared" ref="D46:G46" si="5">SUM(D40:D45)</f>
        <v>29576</v>
      </c>
      <c r="E46" s="448" t="e">
        <f t="shared" si="5"/>
        <v>#REF!</v>
      </c>
      <c r="F46" s="441">
        <f t="shared" si="5"/>
        <v>1324</v>
      </c>
      <c r="G46" s="442" t="e">
        <f t="shared" si="5"/>
        <v>#REF!</v>
      </c>
      <c r="H46" s="144">
        <f>SUM(H40:H45)</f>
        <v>650</v>
      </c>
      <c r="I46" s="145">
        <f>SUM(I40:I45)</f>
        <v>109</v>
      </c>
      <c r="J46" s="315">
        <f t="shared" si="0"/>
        <v>0.1676923076923077</v>
      </c>
      <c r="K46" s="353">
        <v>0.15</v>
      </c>
    </row>
    <row r="47" spans="2:11">
      <c r="B47" s="77" t="s">
        <v>174</v>
      </c>
      <c r="C47" s="78" t="s">
        <v>92</v>
      </c>
      <c r="D47" s="449">
        <f>SUMIFS(Table2[All currently registered regular patients aged 18+],Table2[OrgID],C47,Table2[Rel_D],Details!$D$61)</f>
        <v>11854</v>
      </c>
      <c r="E47" s="431" t="e">
        <f>SUMIFS(#REF!,#REF!,B47,#REF!,Details!$D$61)</f>
        <v>#REF!</v>
      </c>
      <c r="F47" s="443">
        <f>SUMIFS(Table2[F. Patients on anticoagulants or antiplatelets 6m],Table2[OrgID],$C47,Table2[Rel_D],$B$10)</f>
        <v>448</v>
      </c>
      <c r="G47" s="444" t="e">
        <f>SUMIFS(#REF!,#REF!,Details!#REF!,#REF!,Details!$D$61)</f>
        <v>#REF!</v>
      </c>
      <c r="H47" s="12">
        <f>SUMIFS(Table2[Not on PPI 6m],Table2[OrgID],$C47,Table2[Rel_D],$B$10)</f>
        <v>207</v>
      </c>
      <c r="I47" s="80">
        <f>SUMIFS(Table2[14 Not on PPI, reviewed],Table2[OrgID],$C47,Table2[Rel_D],$B$10)</f>
        <v>8</v>
      </c>
      <c r="J47" s="88">
        <f t="shared" si="0"/>
        <v>3.864734299516908E-2</v>
      </c>
      <c r="K47" s="358">
        <v>0.15</v>
      </c>
    </row>
    <row r="48" spans="2:11">
      <c r="B48" s="73" t="s">
        <v>175</v>
      </c>
      <c r="C48" s="74" t="s">
        <v>93</v>
      </c>
      <c r="D48" s="450">
        <f>SUMIFS(Table2[All currently registered regular patients aged 18+],Table2[OrgID],C48,Table2[Rel_D],Details!$D$61)</f>
        <v>2159</v>
      </c>
      <c r="E48" s="433" t="e">
        <f>SUMIFS(#REF!,#REF!,B48,#REF!,Details!$D$61)</f>
        <v>#REF!</v>
      </c>
      <c r="F48" s="433">
        <f>SUMIFS(Table2[F. Patients on anticoagulants or antiplatelets 6m],Table2[OrgID],$C48,Table2[Rel_D],$B$10)</f>
        <v>134</v>
      </c>
      <c r="G48" s="434" t="e">
        <f>SUMIFS(#REF!,#REF!,Details!#REF!,#REF!,Details!$D$61)</f>
        <v>#REF!</v>
      </c>
      <c r="H48" s="2">
        <f>SUMIFS(Table2[Not on PPI 6m],Table2[OrgID],$C48,Table2[Rel_D],$B$10)</f>
        <v>57</v>
      </c>
      <c r="I48" s="69">
        <f>SUMIFS(Table2[14 Not on PPI, reviewed],Table2[OrgID],$C48,Table2[Rel_D],$B$10)</f>
        <v>9</v>
      </c>
      <c r="J48" s="84">
        <f t="shared" si="0"/>
        <v>0.15789473684210525</v>
      </c>
      <c r="K48" s="356">
        <v>0.15</v>
      </c>
    </row>
    <row r="49" spans="2:11">
      <c r="B49" s="73" t="s">
        <v>226</v>
      </c>
      <c r="C49" s="74" t="s">
        <v>94</v>
      </c>
      <c r="D49" s="450">
        <f>SUMIFS(Table2[All currently registered regular patients aged 18+],Table2[OrgID],C49,Table2[Rel_D],Details!$D$61)</f>
        <v>6202</v>
      </c>
      <c r="E49" s="433" t="e">
        <f>SUMIFS(#REF!,#REF!,B49,#REF!,Details!$D$61)</f>
        <v>#REF!</v>
      </c>
      <c r="F49" s="433">
        <f>SUMIFS(Table2[F. Patients on anticoagulants or antiplatelets 6m],Table2[OrgID],$C49,Table2[Rel_D],$B$10)</f>
        <v>326</v>
      </c>
      <c r="G49" s="434" t="e">
        <f>SUMIFS(#REF!,#REF!,Details!#REF!,#REF!,Details!$D$61)</f>
        <v>#REF!</v>
      </c>
      <c r="H49" s="2">
        <f>SUMIFS(Table2[Not on PPI 6m],Table2[OrgID],$C49,Table2[Rel_D],$B$10)</f>
        <v>145</v>
      </c>
      <c r="I49" s="69">
        <f>SUMIFS(Table2[14 Not on PPI, reviewed],Table2[OrgID],$C49,Table2[Rel_D],$B$10)</f>
        <v>30</v>
      </c>
      <c r="J49" s="84">
        <f t="shared" si="0"/>
        <v>0.20689655172413793</v>
      </c>
      <c r="K49" s="356">
        <v>0.15</v>
      </c>
    </row>
    <row r="50" spans="2:11">
      <c r="B50" s="73" t="s">
        <v>177</v>
      </c>
      <c r="C50" s="74" t="s">
        <v>95</v>
      </c>
      <c r="D50" s="450">
        <f>SUMIFS(Table2[All currently registered regular patients aged 18+],Table2[OrgID],C50,Table2[Rel_D],Details!$D$61)</f>
        <v>4578</v>
      </c>
      <c r="E50" s="433" t="e">
        <f>SUMIFS(#REF!,#REF!,B50,#REF!,Details!$D$61)</f>
        <v>#REF!</v>
      </c>
      <c r="F50" s="433">
        <f>SUMIFS(Table2[F. Patients on anticoagulants or antiplatelets 6m],Table2[OrgID],$C50,Table2[Rel_D],$B$10)</f>
        <v>188</v>
      </c>
      <c r="G50" s="434" t="e">
        <f>SUMIFS(#REF!,#REF!,Details!#REF!,#REF!,Details!$D$61)</f>
        <v>#REF!</v>
      </c>
      <c r="H50" s="2">
        <f>SUMIFS(Table2[Not on PPI 6m],Table2[OrgID],$C50,Table2[Rel_D],$B$10)</f>
        <v>89</v>
      </c>
      <c r="I50" s="69">
        <f>SUMIFS(Table2[14 Not on PPI, reviewed],Table2[OrgID],$C50,Table2[Rel_D],$B$10)</f>
        <v>7</v>
      </c>
      <c r="J50" s="84">
        <f t="shared" si="0"/>
        <v>7.8651685393258425E-2</v>
      </c>
      <c r="K50" s="356">
        <v>0.15</v>
      </c>
    </row>
    <row r="51" spans="2:11" ht="15.75" thickBot="1">
      <c r="B51" s="75" t="s">
        <v>178</v>
      </c>
      <c r="C51" s="76" t="s">
        <v>96</v>
      </c>
      <c r="D51" s="455">
        <f>SUMIFS(Table2[All currently registered regular patients aged 18+],Table2[OrgID],C51,Table2[Rel_D],Details!$D$61)</f>
        <v>7066</v>
      </c>
      <c r="E51" s="435" t="e">
        <f>SUMIFS(#REF!,#REF!,B51,#REF!,Details!$D$61)</f>
        <v>#REF!</v>
      </c>
      <c r="F51" s="499">
        <f>SUMIFS(Table2[F. Patients on anticoagulants or antiplatelets 6m],Table2[OrgID],$C51,Table2[Rel_D],$B$10)</f>
        <v>401</v>
      </c>
      <c r="G51" s="500" t="e">
        <f>SUMIFS(#REF!,#REF!,Details!#REF!,#REF!,Details!$D$61)</f>
        <v>#REF!</v>
      </c>
      <c r="H51" s="3">
        <f>SUMIFS(Table2[Not on PPI 6m],Table2[OrgID],$C51,Table2[Rel_D],$B$10)</f>
        <v>175</v>
      </c>
      <c r="I51" s="70">
        <f>SUMIFS(Table2[14 Not on PPI, reviewed],Table2[OrgID],$C51,Table2[Rel_D],$B$10)</f>
        <v>9</v>
      </c>
      <c r="J51" s="86">
        <f t="shared" si="0"/>
        <v>5.1428571428571428E-2</v>
      </c>
      <c r="K51" s="357">
        <v>0.15</v>
      </c>
    </row>
    <row r="52" spans="2:11" ht="15.75" thickBot="1">
      <c r="B52" s="17" t="s">
        <v>179</v>
      </c>
      <c r="C52" s="18" t="s">
        <v>97</v>
      </c>
      <c r="D52" s="447">
        <f t="shared" ref="D52:G52" si="6">SUM(D47:D51)</f>
        <v>31859</v>
      </c>
      <c r="E52" s="448" t="e">
        <f t="shared" si="6"/>
        <v>#REF!</v>
      </c>
      <c r="F52" s="441">
        <f t="shared" si="6"/>
        <v>1497</v>
      </c>
      <c r="G52" s="442" t="e">
        <f t="shared" si="6"/>
        <v>#REF!</v>
      </c>
      <c r="H52" s="144">
        <f>SUM(H47:H51)</f>
        <v>673</v>
      </c>
      <c r="I52" s="145">
        <f>SUM(I47:I51)</f>
        <v>63</v>
      </c>
      <c r="J52" s="315">
        <f t="shared" si="0"/>
        <v>9.3610698365527489E-2</v>
      </c>
      <c r="K52" s="353">
        <v>0.15</v>
      </c>
    </row>
    <row r="53" spans="2:11">
      <c r="B53" s="77" t="s">
        <v>180</v>
      </c>
      <c r="C53" s="79" t="s">
        <v>98</v>
      </c>
      <c r="D53" s="449">
        <f>SUMIFS(Table2[All currently registered regular patients aged 18+],Table2[OrgID],C53,Table2[Rel_D],Details!$D$61)</f>
        <v>5360</v>
      </c>
      <c r="E53" s="431" t="e">
        <f>SUMIFS(#REF!,#REF!,B53,#REF!,Details!$D$61)</f>
        <v>#REF!</v>
      </c>
      <c r="F53" s="443">
        <f>SUMIFS(Table2[F. Patients on anticoagulants or antiplatelets 6m],Table2[OrgID],$C53,Table2[Rel_D],$B$10)</f>
        <v>284</v>
      </c>
      <c r="G53" s="444" t="e">
        <f>SUMIFS(#REF!,#REF!,Details!#REF!,#REF!,Details!$D$61)</f>
        <v>#REF!</v>
      </c>
      <c r="H53" s="12">
        <f>SUMIFS(Table2[Not on PPI 6m],Table2[OrgID],$C53,Table2[Rel_D],$B$10)</f>
        <v>128</v>
      </c>
      <c r="I53" s="80">
        <f>SUMIFS(Table2[14 Not on PPI, reviewed],Table2[OrgID],$C53,Table2[Rel_D],$B$10)</f>
        <v>20</v>
      </c>
      <c r="J53" s="92">
        <f t="shared" si="0"/>
        <v>0.15625</v>
      </c>
      <c r="K53" s="358">
        <v>0.15</v>
      </c>
    </row>
    <row r="54" spans="2:11">
      <c r="B54" s="73" t="s">
        <v>221</v>
      </c>
      <c r="C54" s="74" t="s">
        <v>99</v>
      </c>
      <c r="D54" s="450">
        <f>SUMIFS(Table2[All currently registered regular patients aged 18+],Table2[OrgID],C54,Table2[Rel_D],Details!$D$61)</f>
        <v>6306</v>
      </c>
      <c r="E54" s="433" t="e">
        <f>SUMIFS(#REF!,#REF!,B54,#REF!,Details!$D$61)</f>
        <v>#REF!</v>
      </c>
      <c r="F54" s="433">
        <f>SUMIFS(Table2[F. Patients on anticoagulants or antiplatelets 6m],Table2[OrgID],$C54,Table2[Rel_D],$B$10)</f>
        <v>329</v>
      </c>
      <c r="G54" s="434" t="e">
        <f>SUMIFS(#REF!,#REF!,Details!#REF!,#REF!,Details!$D$61)</f>
        <v>#REF!</v>
      </c>
      <c r="H54" s="2">
        <f>SUMIFS(Table2[Not on PPI 6m],Table2[OrgID],$C54,Table2[Rel_D],$B$10)</f>
        <v>156</v>
      </c>
      <c r="I54" s="69">
        <f>SUMIFS(Table2[14 Not on PPI, reviewed],Table2[OrgID],$C54,Table2[Rel_D],$B$10)</f>
        <v>21</v>
      </c>
      <c r="J54" s="84">
        <f t="shared" si="0"/>
        <v>0.13461538461538461</v>
      </c>
      <c r="K54" s="356">
        <v>0.15</v>
      </c>
    </row>
    <row r="55" spans="2:11">
      <c r="B55" s="73" t="s">
        <v>182</v>
      </c>
      <c r="C55" s="74" t="s">
        <v>100</v>
      </c>
      <c r="D55" s="450">
        <f>SUMIFS(Table2[All currently registered regular patients aged 18+],Table2[OrgID],C55,Table2[Rel_D],Details!$D$61)</f>
        <v>5695</v>
      </c>
      <c r="E55" s="433" t="e">
        <f>SUMIFS(#REF!,#REF!,B55,#REF!,Details!$D$61)</f>
        <v>#REF!</v>
      </c>
      <c r="F55" s="433">
        <f>SUMIFS(Table2[F. Patients on anticoagulants or antiplatelets 6m],Table2[OrgID],$C55,Table2[Rel_D],$B$10)</f>
        <v>284</v>
      </c>
      <c r="G55" s="434" t="e">
        <f>SUMIFS(#REF!,#REF!,Details!#REF!,#REF!,Details!$D$61)</f>
        <v>#REF!</v>
      </c>
      <c r="H55" s="2">
        <f>SUMIFS(Table2[Not on PPI 6m],Table2[OrgID],$C55,Table2[Rel_D],$B$10)</f>
        <v>146</v>
      </c>
      <c r="I55" s="69">
        <f>SUMIFS(Table2[14 Not on PPI, reviewed],Table2[OrgID],$C55,Table2[Rel_D],$B$10)</f>
        <v>42</v>
      </c>
      <c r="J55" s="84">
        <f t="shared" si="0"/>
        <v>0.28767123287671231</v>
      </c>
      <c r="K55" s="356">
        <v>0.15</v>
      </c>
    </row>
    <row r="56" spans="2:11">
      <c r="B56" s="73" t="s">
        <v>183</v>
      </c>
      <c r="C56" s="74" t="s">
        <v>101</v>
      </c>
      <c r="D56" s="450">
        <f>SUMIFS(Table2[All currently registered regular patients aged 18+],Table2[OrgID],C56,Table2[Rel_D],Details!$D$61)</f>
        <v>4725</v>
      </c>
      <c r="E56" s="433" t="e">
        <f>SUMIFS(#REF!,#REF!,B56,#REF!,Details!$D$61)</f>
        <v>#REF!</v>
      </c>
      <c r="F56" s="433">
        <f>SUMIFS(Table2[F. Patients on anticoagulants or antiplatelets 6m],Table2[OrgID],$C56,Table2[Rel_D],$B$10)</f>
        <v>136</v>
      </c>
      <c r="G56" s="434" t="e">
        <f>SUMIFS(#REF!,#REF!,Details!#REF!,#REF!,Details!$D$61)</f>
        <v>#REF!</v>
      </c>
      <c r="H56" s="2">
        <f>SUMIFS(Table2[Not on PPI 6m],Table2[OrgID],$C56,Table2[Rel_D],$B$10)</f>
        <v>71</v>
      </c>
      <c r="I56" s="69">
        <f>SUMIFS(Table2[14 Not on PPI, reviewed],Table2[OrgID],$C56,Table2[Rel_D],$B$10)</f>
        <v>17</v>
      </c>
      <c r="J56" s="84">
        <f t="shared" si="0"/>
        <v>0.23943661971830985</v>
      </c>
      <c r="K56" s="356">
        <v>0.15</v>
      </c>
    </row>
    <row r="57" spans="2:11" ht="15.75" thickBot="1">
      <c r="B57" s="75" t="s">
        <v>184</v>
      </c>
      <c r="C57" s="76" t="s">
        <v>102</v>
      </c>
      <c r="D57" s="455">
        <f>SUMIFS(Table2[All currently registered regular patients aged 18+],Table2[OrgID],C57,Table2[Rel_D],Details!$D$61)</f>
        <v>12833</v>
      </c>
      <c r="E57" s="435" t="e">
        <f>SUMIFS(#REF!,#REF!,B57,#REF!,Details!$D$61)</f>
        <v>#REF!</v>
      </c>
      <c r="F57" s="499">
        <f>SUMIFS(Table2[F. Patients on anticoagulants or antiplatelets 6m],Table2[OrgID],$C57,Table2[Rel_D],$B$10)</f>
        <v>502</v>
      </c>
      <c r="G57" s="500" t="e">
        <f>SUMIFS(#REF!,#REF!,Details!#REF!,#REF!,Details!$D$61)</f>
        <v>#REF!</v>
      </c>
      <c r="H57" s="3">
        <f>SUMIFS(Table2[Not on PPI 6m],Table2[OrgID],$C57,Table2[Rel_D],$B$10)</f>
        <v>253</v>
      </c>
      <c r="I57" s="70">
        <f>SUMIFS(Table2[14 Not on PPI, reviewed],Table2[OrgID],$C57,Table2[Rel_D],$B$10)</f>
        <v>22</v>
      </c>
      <c r="J57" s="86">
        <f t="shared" si="0"/>
        <v>8.6956521739130432E-2</v>
      </c>
      <c r="K57" s="357">
        <v>0.15</v>
      </c>
    </row>
    <row r="58" spans="2:11" ht="15.75" thickBot="1">
      <c r="B58" s="17" t="s">
        <v>185</v>
      </c>
      <c r="C58" s="18" t="s">
        <v>103</v>
      </c>
      <c r="D58" s="447">
        <f t="shared" ref="D58:G58" si="7">SUM(D53:D57)</f>
        <v>34919</v>
      </c>
      <c r="E58" s="448" t="e">
        <f t="shared" si="7"/>
        <v>#REF!</v>
      </c>
      <c r="F58" s="441">
        <f t="shared" si="7"/>
        <v>1535</v>
      </c>
      <c r="G58" s="437" t="e">
        <f t="shared" si="7"/>
        <v>#REF!</v>
      </c>
      <c r="H58" s="157">
        <f>SUM(H53:H57)</f>
        <v>754</v>
      </c>
      <c r="I58" s="158">
        <f>SUM(I53:I57)</f>
        <v>122</v>
      </c>
      <c r="J58" s="317">
        <f t="shared" si="0"/>
        <v>0.16180371352785147</v>
      </c>
      <c r="K58" s="353">
        <v>0.15</v>
      </c>
    </row>
    <row r="59" spans="2:11" ht="19.5" thickBot="1">
      <c r="B59" s="146" t="s">
        <v>186</v>
      </c>
      <c r="C59" s="147" t="s">
        <v>37</v>
      </c>
      <c r="D59" s="457">
        <f>SUM(D58,D52,D46,D39,D31,D27,D21)</f>
        <v>253124</v>
      </c>
      <c r="E59" s="458"/>
      <c r="F59" s="439">
        <f t="shared" ref="F59:G59" si="8">SUM(F58,F52,F46,F39,F31,F27,F21)</f>
        <v>13102</v>
      </c>
      <c r="G59" s="440" t="e">
        <f t="shared" si="8"/>
        <v>#REF!</v>
      </c>
      <c r="H59" s="159">
        <f>SUM(H58,H52,H46,H39,H31,H27,H21)</f>
        <v>6146</v>
      </c>
      <c r="I59" s="159">
        <f>SUM(I58,I52,I46,I39,I31,I27,I21)</f>
        <v>621</v>
      </c>
      <c r="J59" s="318">
        <f t="shared" si="0"/>
        <v>0.10104132769280832</v>
      </c>
      <c r="K59" s="354">
        <v>0.21340434975588105</v>
      </c>
    </row>
  </sheetData>
  <mergeCells count="98">
    <mergeCell ref="F55:G55"/>
    <mergeCell ref="F56:G56"/>
    <mergeCell ref="F57:G57"/>
    <mergeCell ref="F58:G58"/>
    <mergeCell ref="F59:G59"/>
    <mergeCell ref="F54:G54"/>
    <mergeCell ref="F43:G43"/>
    <mergeCell ref="F44:G44"/>
    <mergeCell ref="F45:G45"/>
    <mergeCell ref="F46:G46"/>
    <mergeCell ref="F47:G47"/>
    <mergeCell ref="F48:G48"/>
    <mergeCell ref="F49:G49"/>
    <mergeCell ref="F50:G50"/>
    <mergeCell ref="F51:G51"/>
    <mergeCell ref="F52:G52"/>
    <mergeCell ref="F53:G53"/>
    <mergeCell ref="F42:G42"/>
    <mergeCell ref="F31:G31"/>
    <mergeCell ref="F32:G32"/>
    <mergeCell ref="F33:G33"/>
    <mergeCell ref="F34:G34"/>
    <mergeCell ref="F35:G35"/>
    <mergeCell ref="F36:G36"/>
    <mergeCell ref="F37:G37"/>
    <mergeCell ref="F38:G38"/>
    <mergeCell ref="F39:G39"/>
    <mergeCell ref="F40:G40"/>
    <mergeCell ref="F41:G41"/>
    <mergeCell ref="F30:G30"/>
    <mergeCell ref="F19:G19"/>
    <mergeCell ref="F20:G20"/>
    <mergeCell ref="F21:G21"/>
    <mergeCell ref="F22:G22"/>
    <mergeCell ref="F23:G23"/>
    <mergeCell ref="F24:G24"/>
    <mergeCell ref="F25:G25"/>
    <mergeCell ref="F26:G26"/>
    <mergeCell ref="F27:G27"/>
    <mergeCell ref="F28:G28"/>
    <mergeCell ref="F29:G29"/>
    <mergeCell ref="D59:E59"/>
    <mergeCell ref="F10:J10"/>
    <mergeCell ref="F12:G12"/>
    <mergeCell ref="I12:J12"/>
    <mergeCell ref="F13:G13"/>
    <mergeCell ref="F14:G14"/>
    <mergeCell ref="F15:G15"/>
    <mergeCell ref="F16:G16"/>
    <mergeCell ref="F17:G17"/>
    <mergeCell ref="F18:G18"/>
    <mergeCell ref="D53:E53"/>
    <mergeCell ref="D54:E54"/>
    <mergeCell ref="D55:E55"/>
    <mergeCell ref="D56:E56"/>
    <mergeCell ref="D57:E57"/>
    <mergeCell ref="D58:E58"/>
    <mergeCell ref="D52:E52"/>
    <mergeCell ref="D41:E41"/>
    <mergeCell ref="D42:E42"/>
    <mergeCell ref="D43:E43"/>
    <mergeCell ref="D44:E44"/>
    <mergeCell ref="D45:E45"/>
    <mergeCell ref="D46:E46"/>
    <mergeCell ref="D47:E47"/>
    <mergeCell ref="D48:E48"/>
    <mergeCell ref="D49:E49"/>
    <mergeCell ref="D50:E50"/>
    <mergeCell ref="D51:E51"/>
    <mergeCell ref="D40:E40"/>
    <mergeCell ref="D29:E29"/>
    <mergeCell ref="D30:E30"/>
    <mergeCell ref="D31:E31"/>
    <mergeCell ref="D32:E32"/>
    <mergeCell ref="D33:E33"/>
    <mergeCell ref="D34:E34"/>
    <mergeCell ref="D35:E35"/>
    <mergeCell ref="D36:E36"/>
    <mergeCell ref="D37:E37"/>
    <mergeCell ref="D38:E38"/>
    <mergeCell ref="D39:E39"/>
    <mergeCell ref="D28:E28"/>
    <mergeCell ref="D17:E17"/>
    <mergeCell ref="D18:E18"/>
    <mergeCell ref="D19:E19"/>
    <mergeCell ref="D20:E20"/>
    <mergeCell ref="D21:E21"/>
    <mergeCell ref="D22:E22"/>
    <mergeCell ref="D23:E23"/>
    <mergeCell ref="D24:E24"/>
    <mergeCell ref="D25:E25"/>
    <mergeCell ref="D26:E26"/>
    <mergeCell ref="D27:E27"/>
    <mergeCell ref="D12:E12"/>
    <mergeCell ref="D13:E13"/>
    <mergeCell ref="D14:E14"/>
    <mergeCell ref="D15:E15"/>
    <mergeCell ref="D16:E16"/>
  </mergeCells>
  <pageMargins left="0.7" right="0.7" top="0.75" bottom="0.75" header="0.3" footer="0.3"/>
  <drawing r:id="rId1"/>
  <legacyDrawing r:id="rId2"/>
  <controls>
    <mc:AlternateContent xmlns:mc="http://schemas.openxmlformats.org/markup-compatibility/2006">
      <mc:Choice Requires="x14">
        <control shapeId="23553" r:id="rId3" name="ComboBox1">
          <controlPr defaultSize="0" autoLine="0" linkedCell="Control!E5" listFillRange="Control!B2:C14" r:id="rId4">
            <anchor moveWithCells="1">
              <from>
                <xdr:col>4</xdr:col>
                <xdr:colOff>657225</xdr:colOff>
                <xdr:row>0</xdr:row>
                <xdr:rowOff>76200</xdr:rowOff>
              </from>
              <to>
                <xdr:col>5</xdr:col>
                <xdr:colOff>819150</xdr:colOff>
                <xdr:row>1</xdr:row>
                <xdr:rowOff>161925</xdr:rowOff>
              </to>
            </anchor>
          </controlPr>
        </control>
      </mc:Choice>
      <mc:Fallback>
        <control shapeId="23553" r:id="rId3" name="ComboBox1"/>
      </mc:Fallback>
    </mc:AlternateContent>
  </controls>
  <extLst>
    <ext xmlns:x14="http://schemas.microsoft.com/office/spreadsheetml/2009/9/main" uri="{78C0D931-6437-407d-A8EE-F0AAD7539E65}">
      <x14:conditionalFormattings>
        <x14:conditionalFormatting xmlns:xm="http://schemas.microsoft.com/office/excel/2006/main">
          <x14:cfRule type="iconSet" priority="1" id="{CBAC084D-1185-43B4-B0D2-ACF53121CB12}">
            <x14:iconSet custom="1">
              <x14:cfvo type="percent">
                <xm:f>0</xm:f>
              </x14:cfvo>
              <x14:cfvo type="num">
                <xm:f>0</xm:f>
              </x14:cfvo>
              <x14:cfvo type="num">
                <xm:f>0.15</xm:f>
              </x14:cfvo>
              <x14:cfIcon iconSet="NoIcons" iconId="0"/>
              <x14:cfIcon iconSet="3TrafficLights1" iconId="0"/>
              <x14:cfIcon iconSet="3TrafficLights1" iconId="2"/>
            </x14:iconSet>
          </x14:cfRule>
          <xm:sqref>J13:J20 J22:J26 J28:J30 J32:J38 J40:J45 J47:J51 J53:J57</xm:sqref>
        </x14:conditionalFormatting>
      </x14:conditionalFormattings>
    </ext>
    <ext xmlns:x14="http://schemas.microsoft.com/office/spreadsheetml/2009/9/main" uri="{A8765BA9-456A-4dab-B4F3-ACF838C121DE}">
      <x14:slicerList>
        <x14:slicer r:id="rId5"/>
      </x14:slicerList>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EA38EF-5FCA-4D2F-970D-9A6FF9D1ABE8}">
  <dimension ref="B4:P69"/>
  <sheetViews>
    <sheetView topLeftCell="A33" workbookViewId="0">
      <selection activeCell="H62" sqref="H62"/>
    </sheetView>
  </sheetViews>
  <sheetFormatPr defaultRowHeight="15"/>
  <cols>
    <col min="2" max="2" width="15" customWidth="1"/>
    <col min="6" max="6" width="13.140625" bestFit="1" customWidth="1"/>
    <col min="7" max="7" width="28" bestFit="1" customWidth="1"/>
    <col min="8" max="8" width="10.5703125" bestFit="1" customWidth="1"/>
    <col min="9" max="9" width="19.28515625" bestFit="1" customWidth="1"/>
    <col min="10" max="10" width="15.5703125" bestFit="1" customWidth="1"/>
    <col min="11" max="11" width="23" bestFit="1" customWidth="1"/>
    <col min="12" max="12" width="13.140625" bestFit="1" customWidth="1"/>
    <col min="13" max="13" width="28" bestFit="1" customWidth="1"/>
    <col min="14" max="14" width="10.5703125" bestFit="1" customWidth="1"/>
    <col min="15" max="15" width="23.140625" bestFit="1" customWidth="1"/>
    <col min="16" max="16" width="15.5703125" bestFit="1" customWidth="1"/>
    <col min="17" max="17" width="23.28515625" bestFit="1" customWidth="1"/>
    <col min="18" max="18" width="11.140625" bestFit="1" customWidth="1"/>
    <col min="19" max="19" width="24.7109375" bestFit="1" customWidth="1"/>
    <col min="20" max="20" width="11.140625" bestFit="1" customWidth="1"/>
    <col min="21" max="21" width="23" bestFit="1" customWidth="1"/>
    <col min="22" max="22" width="11.140625" bestFit="1" customWidth="1"/>
    <col min="23" max="23" width="23" bestFit="1" customWidth="1"/>
    <col min="24" max="24" width="11.140625" bestFit="1" customWidth="1"/>
    <col min="25" max="25" width="23" bestFit="1" customWidth="1"/>
    <col min="26" max="26" width="11.140625" bestFit="1" customWidth="1"/>
    <col min="27" max="27" width="26.5703125" bestFit="1" customWidth="1"/>
    <col min="28" max="28" width="11.140625" bestFit="1" customWidth="1"/>
    <col min="29" max="29" width="25.5703125" bestFit="1" customWidth="1"/>
    <col min="30" max="30" width="11.140625" bestFit="1" customWidth="1"/>
    <col min="31" max="31" width="23" bestFit="1" customWidth="1"/>
    <col min="32" max="32" width="11.140625" bestFit="1" customWidth="1"/>
    <col min="33" max="33" width="23.5703125" bestFit="1" customWidth="1"/>
    <col min="34" max="34" width="11.140625" bestFit="1" customWidth="1"/>
    <col min="35" max="35" width="26.28515625" bestFit="1" customWidth="1"/>
    <col min="36" max="36" width="11.140625" bestFit="1" customWidth="1"/>
    <col min="37" max="37" width="23" bestFit="1" customWidth="1"/>
    <col min="38" max="38" width="11.140625" bestFit="1" customWidth="1"/>
    <col min="39" max="39" width="25.7109375" bestFit="1" customWidth="1"/>
    <col min="40" max="40" width="11.140625" bestFit="1" customWidth="1"/>
    <col min="41" max="41" width="26.28515625" bestFit="1" customWidth="1"/>
    <col min="42" max="42" width="11.140625" bestFit="1" customWidth="1"/>
    <col min="43" max="43" width="23" bestFit="1" customWidth="1"/>
    <col min="44" max="44" width="11.140625" bestFit="1" customWidth="1"/>
    <col min="45" max="45" width="23.140625" bestFit="1" customWidth="1"/>
    <col min="46" max="46" width="11.140625" bestFit="1" customWidth="1"/>
    <col min="47" max="47" width="29.85546875" bestFit="1" customWidth="1"/>
    <col min="48" max="48" width="11.140625" bestFit="1" customWidth="1"/>
    <col min="49" max="49" width="32.42578125" bestFit="1" customWidth="1"/>
    <col min="50" max="50" width="11.140625" bestFit="1" customWidth="1"/>
    <col min="51" max="51" width="23" bestFit="1" customWidth="1"/>
    <col min="52" max="52" width="11.140625" bestFit="1" customWidth="1"/>
    <col min="53" max="53" width="40.7109375" bestFit="1" customWidth="1"/>
    <col min="54" max="54" width="11.140625" bestFit="1" customWidth="1"/>
    <col min="55" max="55" width="23" bestFit="1" customWidth="1"/>
    <col min="56" max="56" width="11.140625" bestFit="1" customWidth="1"/>
    <col min="57" max="57" width="27.28515625" bestFit="1" customWidth="1"/>
    <col min="58" max="58" width="11.140625" bestFit="1" customWidth="1"/>
    <col min="59" max="59" width="23.28515625" bestFit="1" customWidth="1"/>
    <col min="60" max="60" width="11.140625" bestFit="1" customWidth="1"/>
    <col min="61" max="61" width="23" bestFit="1" customWidth="1"/>
    <col min="62" max="62" width="11.140625" bestFit="1" customWidth="1"/>
    <col min="63" max="63" width="27.28515625" bestFit="1" customWidth="1"/>
    <col min="64" max="64" width="11.140625" bestFit="1" customWidth="1"/>
    <col min="65" max="65" width="24.42578125" bestFit="1" customWidth="1"/>
    <col min="66" max="66" width="11.140625" bestFit="1" customWidth="1"/>
    <col min="67" max="67" width="23" bestFit="1" customWidth="1"/>
    <col min="68" max="68" width="11.140625" bestFit="1" customWidth="1"/>
    <col min="69" max="69" width="24.28515625" bestFit="1" customWidth="1"/>
    <col min="70" max="70" width="11.140625" bestFit="1" customWidth="1"/>
    <col min="71" max="71" width="23.5703125" bestFit="1" customWidth="1"/>
    <col min="72" max="72" width="11.140625" bestFit="1" customWidth="1"/>
    <col min="73" max="73" width="36.28515625" bestFit="1" customWidth="1"/>
    <col min="74" max="74" width="11.140625" bestFit="1" customWidth="1"/>
    <col min="75" max="75" width="23" bestFit="1" customWidth="1"/>
    <col min="76" max="76" width="11.140625" bestFit="1" customWidth="1"/>
    <col min="77" max="77" width="23" bestFit="1" customWidth="1"/>
    <col min="78" max="78" width="11.140625" bestFit="1" customWidth="1"/>
    <col min="79" max="79" width="23" bestFit="1" customWidth="1"/>
    <col min="80" max="80" width="11.140625" bestFit="1" customWidth="1"/>
    <col min="81" max="81" width="23" bestFit="1" customWidth="1"/>
    <col min="82" max="82" width="11.140625" bestFit="1" customWidth="1"/>
    <col min="83" max="83" width="52.7109375" bestFit="1" customWidth="1"/>
    <col min="84" max="84" width="11.140625" bestFit="1" customWidth="1"/>
    <col min="85" max="85" width="28" bestFit="1" customWidth="1"/>
    <col min="86" max="86" width="16.140625" bestFit="1" customWidth="1"/>
    <col min="87" max="87" width="24" bestFit="1" customWidth="1"/>
    <col min="88" max="88" width="6.5703125" bestFit="1" customWidth="1"/>
    <col min="89" max="89" width="52.7109375" bestFit="1" customWidth="1"/>
    <col min="90" max="90" width="6.5703125" bestFit="1" customWidth="1"/>
    <col min="91" max="91" width="29" bestFit="1" customWidth="1"/>
    <col min="92" max="92" width="11.42578125" bestFit="1" customWidth="1"/>
  </cols>
  <sheetData>
    <row r="4" spans="2:15">
      <c r="C4" s="16"/>
      <c r="D4" s="16"/>
      <c r="E4" s="16"/>
      <c r="H4" s="16"/>
      <c r="I4" s="16"/>
      <c r="J4" s="16"/>
      <c r="K4" s="16"/>
      <c r="L4" s="16"/>
      <c r="M4" s="16"/>
      <c r="N4" s="16"/>
      <c r="O4" s="16"/>
    </row>
    <row r="5" spans="2:15">
      <c r="B5" s="61"/>
      <c r="C5" s="63"/>
      <c r="D5" s="63"/>
      <c r="E5" s="63"/>
      <c r="F5" s="63"/>
      <c r="G5" s="63"/>
      <c r="H5" s="63"/>
      <c r="I5" s="63"/>
      <c r="J5" s="63"/>
      <c r="K5" s="63"/>
      <c r="L5" s="63"/>
      <c r="M5" s="388"/>
    </row>
    <row r="6" spans="2:15">
      <c r="B6" s="62"/>
      <c r="C6" s="63"/>
      <c r="D6" s="63"/>
      <c r="E6" s="63"/>
      <c r="F6" s="390" t="s">
        <v>237</v>
      </c>
      <c r="G6" t="s">
        <v>238</v>
      </c>
      <c r="H6" t="s">
        <v>239</v>
      </c>
      <c r="I6" t="s">
        <v>240</v>
      </c>
      <c r="J6" t="s">
        <v>241</v>
      </c>
    </row>
    <row r="7" spans="2:15">
      <c r="F7" s="391" t="s">
        <v>160</v>
      </c>
      <c r="G7">
        <v>4755</v>
      </c>
      <c r="H7">
        <v>2853</v>
      </c>
      <c r="I7">
        <v>3287</v>
      </c>
      <c r="J7" s="1">
        <v>0.69127234490010514</v>
      </c>
    </row>
    <row r="8" spans="2:15">
      <c r="F8" s="391" t="s">
        <v>242</v>
      </c>
      <c r="G8">
        <v>4755</v>
      </c>
      <c r="H8">
        <v>2853</v>
      </c>
      <c r="I8">
        <v>3287</v>
      </c>
      <c r="J8" s="1">
        <v>0.69127234490010514</v>
      </c>
    </row>
    <row r="30" spans="12:16">
      <c r="M30" s="390" t="s">
        <v>243</v>
      </c>
    </row>
    <row r="31" spans="12:16">
      <c r="M31" t="s">
        <v>160</v>
      </c>
      <c r="O31" t="s">
        <v>244</v>
      </c>
      <c r="P31" t="s">
        <v>245</v>
      </c>
    </row>
    <row r="32" spans="12:16">
      <c r="L32" s="390" t="s">
        <v>237</v>
      </c>
      <c r="M32" t="s">
        <v>246</v>
      </c>
      <c r="N32" t="s">
        <v>247</v>
      </c>
    </row>
    <row r="33" spans="12:16">
      <c r="L33" s="393">
        <v>44287</v>
      </c>
      <c r="M33">
        <v>0.54261363636363635</v>
      </c>
      <c r="N33">
        <v>0.6</v>
      </c>
      <c r="O33">
        <v>0.54261363636363635</v>
      </c>
      <c r="P33">
        <v>0.6</v>
      </c>
    </row>
    <row r="34" spans="12:16">
      <c r="L34" s="393">
        <v>44317</v>
      </c>
      <c r="M34">
        <v>0.57471264367816088</v>
      </c>
      <c r="N34">
        <v>0.6</v>
      </c>
      <c r="O34">
        <v>0.57471264367816088</v>
      </c>
      <c r="P34">
        <v>0.6</v>
      </c>
    </row>
    <row r="35" spans="12:16">
      <c r="L35" s="393">
        <v>44348</v>
      </c>
      <c r="M35">
        <v>0.58757062146892658</v>
      </c>
      <c r="N35">
        <v>0.6</v>
      </c>
      <c r="O35">
        <v>0.58757062146892658</v>
      </c>
      <c r="P35">
        <v>0.6</v>
      </c>
    </row>
    <row r="36" spans="12:16">
      <c r="L36" s="393">
        <v>44378</v>
      </c>
      <c r="M36">
        <v>0.53714285714285714</v>
      </c>
      <c r="N36">
        <v>0.6</v>
      </c>
      <c r="O36">
        <v>0.53714285714285714</v>
      </c>
      <c r="P36">
        <v>0.6</v>
      </c>
    </row>
    <row r="37" spans="12:16">
      <c r="L37" s="393">
        <v>44409</v>
      </c>
      <c r="M37">
        <v>0.60563380281690138</v>
      </c>
      <c r="N37">
        <v>0.6</v>
      </c>
      <c r="O37">
        <v>0.60563380281690138</v>
      </c>
      <c r="P37">
        <v>0.6</v>
      </c>
    </row>
    <row r="38" spans="12:16">
      <c r="L38" s="393">
        <v>44440</v>
      </c>
      <c r="M38">
        <v>0.67590027700831024</v>
      </c>
      <c r="N38">
        <v>0.6</v>
      </c>
      <c r="O38">
        <v>0.67590027700831024</v>
      </c>
      <c r="P38">
        <v>0.6</v>
      </c>
    </row>
    <row r="39" spans="12:16">
      <c r="L39" s="393">
        <v>44470</v>
      </c>
      <c r="M39">
        <v>0.71195652173913049</v>
      </c>
      <c r="N39">
        <v>0.6</v>
      </c>
      <c r="O39">
        <v>0.71195652173913049</v>
      </c>
      <c r="P39">
        <v>0.6</v>
      </c>
    </row>
    <row r="40" spans="12:16">
      <c r="L40" s="393">
        <v>44501</v>
      </c>
      <c r="M40">
        <v>0.73854447439353099</v>
      </c>
      <c r="N40">
        <v>0.6</v>
      </c>
      <c r="O40">
        <v>0.73854447439353099</v>
      </c>
      <c r="P40">
        <v>0.6</v>
      </c>
    </row>
    <row r="41" spans="12:16">
      <c r="L41" s="393">
        <v>44531</v>
      </c>
      <c r="M41">
        <v>0.76693766937669372</v>
      </c>
      <c r="N41">
        <v>0.6</v>
      </c>
      <c r="O41">
        <v>0.76693766937669372</v>
      </c>
      <c r="P41">
        <v>0.6</v>
      </c>
    </row>
    <row r="42" spans="12:16">
      <c r="L42" s="393">
        <v>44562</v>
      </c>
      <c r="M42">
        <v>0.75871313672922247</v>
      </c>
      <c r="N42">
        <v>0.6</v>
      </c>
      <c r="O42">
        <v>0.75871313672922247</v>
      </c>
      <c r="P42">
        <v>0.6</v>
      </c>
    </row>
    <row r="43" spans="12:16">
      <c r="L43" s="393">
        <v>44593</v>
      </c>
      <c r="M43">
        <v>0.79629629629629628</v>
      </c>
      <c r="N43">
        <v>0.6</v>
      </c>
      <c r="O43">
        <v>0.79629629629629628</v>
      </c>
      <c r="P43">
        <v>0.6</v>
      </c>
    </row>
    <row r="44" spans="12:16">
      <c r="L44" s="393">
        <v>44621</v>
      </c>
      <c r="M44">
        <v>0.81723237597911225</v>
      </c>
      <c r="N44">
        <v>0.6</v>
      </c>
      <c r="O44">
        <v>0.81723237597911225</v>
      </c>
      <c r="P44">
        <v>0.6</v>
      </c>
    </row>
    <row r="45" spans="12:16">
      <c r="L45" s="393">
        <v>44652</v>
      </c>
      <c r="M45">
        <v>0.82697201017811706</v>
      </c>
      <c r="N45">
        <v>0.6</v>
      </c>
      <c r="O45">
        <v>0.82697201017811706</v>
      </c>
      <c r="P45">
        <v>0.6</v>
      </c>
    </row>
    <row r="46" spans="12:16">
      <c r="L46" s="393" t="s">
        <v>242</v>
      </c>
      <c r="M46">
        <v>0.69127234490010514</v>
      </c>
      <c r="N46">
        <v>0.6</v>
      </c>
      <c r="O46">
        <v>0.69127234490010514</v>
      </c>
      <c r="P46">
        <v>0.6</v>
      </c>
    </row>
    <row r="53" spans="6:10">
      <c r="G53" s="390" t="s">
        <v>243</v>
      </c>
    </row>
    <row r="54" spans="6:10">
      <c r="G54" t="s">
        <v>160</v>
      </c>
      <c r="I54" t="s">
        <v>248</v>
      </c>
      <c r="J54" t="s">
        <v>249</v>
      </c>
    </row>
    <row r="55" spans="6:10">
      <c r="F55" s="390" t="s">
        <v>237</v>
      </c>
      <c r="G55" t="s">
        <v>250</v>
      </c>
      <c r="H55" t="s">
        <v>251</v>
      </c>
    </row>
    <row r="56" spans="6:10">
      <c r="F56" s="393">
        <v>44287</v>
      </c>
      <c r="G56">
        <v>7.0175438596491224E-2</v>
      </c>
      <c r="H56">
        <v>0.15</v>
      </c>
      <c r="I56">
        <v>7.0175438596491224E-2</v>
      </c>
      <c r="J56">
        <v>0.15</v>
      </c>
    </row>
    <row r="57" spans="6:10">
      <c r="F57" s="393">
        <v>44317</v>
      </c>
      <c r="G57">
        <v>0.12</v>
      </c>
      <c r="H57">
        <v>0.15</v>
      </c>
      <c r="I57">
        <v>0.12</v>
      </c>
      <c r="J57">
        <v>0.15</v>
      </c>
    </row>
    <row r="58" spans="6:10">
      <c r="F58" s="393">
        <v>44348</v>
      </c>
      <c r="G58">
        <v>8.7155963302752298E-2</v>
      </c>
      <c r="H58">
        <v>0.15</v>
      </c>
      <c r="I58">
        <v>8.7155963302752298E-2</v>
      </c>
      <c r="J58">
        <v>0.15</v>
      </c>
    </row>
    <row r="59" spans="6:10">
      <c r="F59" s="393">
        <v>44378</v>
      </c>
      <c r="G59">
        <v>6.3926940639269403E-2</v>
      </c>
      <c r="H59">
        <v>0.15</v>
      </c>
      <c r="I59">
        <v>6.3926940639269403E-2</v>
      </c>
      <c r="J59">
        <v>0.15</v>
      </c>
    </row>
    <row r="60" spans="6:10">
      <c r="F60" s="393">
        <v>44409</v>
      </c>
      <c r="G60">
        <v>6.8493150684931503E-2</v>
      </c>
      <c r="H60">
        <v>0.15</v>
      </c>
      <c r="I60">
        <v>6.8493150684931503E-2</v>
      </c>
      <c r="J60">
        <v>0.15</v>
      </c>
    </row>
    <row r="61" spans="6:10">
      <c r="F61" s="393">
        <v>44440</v>
      </c>
      <c r="G61">
        <v>6.6666666666666666E-2</v>
      </c>
      <c r="H61">
        <v>0.15</v>
      </c>
      <c r="I61">
        <v>6.6666666666666666E-2</v>
      </c>
      <c r="J61">
        <v>0.15</v>
      </c>
    </row>
    <row r="62" spans="6:10">
      <c r="F62" s="393">
        <v>44470</v>
      </c>
      <c r="G62">
        <v>6.6985645933014357E-2</v>
      </c>
      <c r="H62">
        <v>0.15</v>
      </c>
      <c r="I62">
        <v>6.6985645933014357E-2</v>
      </c>
      <c r="J62">
        <v>0.15</v>
      </c>
    </row>
    <row r="63" spans="6:10">
      <c r="F63" s="393">
        <v>44501</v>
      </c>
      <c r="G63">
        <v>9.004739336492891E-2</v>
      </c>
      <c r="H63">
        <v>0.15</v>
      </c>
      <c r="I63">
        <v>9.004739336492891E-2</v>
      </c>
      <c r="J63">
        <v>0.15</v>
      </c>
    </row>
    <row r="64" spans="6:10">
      <c r="F64" s="393">
        <v>44531</v>
      </c>
      <c r="G64">
        <v>0.10648148148148148</v>
      </c>
      <c r="H64">
        <v>0.15</v>
      </c>
      <c r="I64">
        <v>0.10648148148148148</v>
      </c>
      <c r="J64">
        <v>0.15</v>
      </c>
    </row>
    <row r="65" spans="6:10">
      <c r="F65" s="393">
        <v>44562</v>
      </c>
      <c r="G65">
        <v>0.11255411255411256</v>
      </c>
      <c r="H65">
        <v>0.15</v>
      </c>
      <c r="I65">
        <v>0.11255411255411256</v>
      </c>
      <c r="J65">
        <v>0.15</v>
      </c>
    </row>
    <row r="66" spans="6:10">
      <c r="F66" s="393">
        <v>44593</v>
      </c>
      <c r="G66">
        <v>0.11814345991561181</v>
      </c>
      <c r="H66">
        <v>0.15</v>
      </c>
      <c r="I66">
        <v>0.11814345991561181</v>
      </c>
      <c r="J66">
        <v>0.15</v>
      </c>
    </row>
    <row r="67" spans="6:10">
      <c r="F67" s="393">
        <v>44621</v>
      </c>
      <c r="G67">
        <v>0.12448132780082988</v>
      </c>
      <c r="H67">
        <v>0.15</v>
      </c>
      <c r="I67">
        <v>0.12448132780082988</v>
      </c>
      <c r="J67">
        <v>0.15</v>
      </c>
    </row>
    <row r="68" spans="6:10">
      <c r="F68" s="393">
        <v>44652</v>
      </c>
      <c r="G68">
        <v>0.13306451612903225</v>
      </c>
      <c r="H68">
        <v>0.15</v>
      </c>
      <c r="I68">
        <v>0.13306451612903225</v>
      </c>
      <c r="J68">
        <v>0.15</v>
      </c>
    </row>
    <row r="69" spans="6:10">
      <c r="F69" s="393" t="s">
        <v>242</v>
      </c>
      <c r="G69">
        <v>9.5759717314487638E-2</v>
      </c>
      <c r="H69">
        <v>0.15</v>
      </c>
      <c r="I69">
        <v>9.5759717314487638E-2</v>
      </c>
      <c r="J69">
        <v>0.15</v>
      </c>
    </row>
  </sheetData>
  <pageMargins left="0.7" right="0.7" top="0.75" bottom="0.75" header="0.3" footer="0.3"/>
  <drawing r:id="rId4"/>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E3C1D7-89B3-44A6-A896-3011D4458677}">
  <dimension ref="B3:F73"/>
  <sheetViews>
    <sheetView workbookViewId="0">
      <selection activeCell="D10" sqref="D10"/>
    </sheetView>
  </sheetViews>
  <sheetFormatPr defaultRowHeight="15"/>
  <cols>
    <col min="2" max="2" width="13.140625" bestFit="1" customWidth="1"/>
    <col min="3" max="3" width="28" bestFit="1" customWidth="1"/>
    <col min="4" max="4" width="11" bestFit="1" customWidth="1"/>
    <col min="5" max="5" width="22.42578125" bestFit="1" customWidth="1"/>
    <col min="6" max="6" width="16" bestFit="1" customWidth="1"/>
    <col min="7" max="7" width="20" bestFit="1" customWidth="1"/>
    <col min="8" max="8" width="11" bestFit="1" customWidth="1"/>
    <col min="9" max="9" width="28.7109375" bestFit="1" customWidth="1"/>
    <col min="10" max="10" width="11" bestFit="1" customWidth="1"/>
    <col min="11" max="11" width="25.140625" bestFit="1" customWidth="1"/>
    <col min="12" max="12" width="11" bestFit="1" customWidth="1"/>
    <col min="13" max="13" width="23.28515625" bestFit="1" customWidth="1"/>
    <col min="14" max="14" width="11" bestFit="1" customWidth="1"/>
    <col min="15" max="15" width="24.7109375" bestFit="1" customWidth="1"/>
    <col min="16" max="16" width="11" bestFit="1" customWidth="1"/>
    <col min="17" max="17" width="17.42578125" bestFit="1" customWidth="1"/>
    <col min="18" max="18" width="11" bestFit="1" customWidth="1"/>
    <col min="19" max="19" width="17.42578125" bestFit="1" customWidth="1"/>
    <col min="20" max="20" width="11" bestFit="1" customWidth="1"/>
    <col min="21" max="21" width="17.42578125" bestFit="1" customWidth="1"/>
    <col min="22" max="22" width="11" bestFit="1" customWidth="1"/>
    <col min="23" max="23" width="26.5703125" bestFit="1" customWidth="1"/>
    <col min="24" max="24" width="11" bestFit="1" customWidth="1"/>
    <col min="25" max="25" width="25.5703125" bestFit="1" customWidth="1"/>
    <col min="26" max="26" width="11" bestFit="1" customWidth="1"/>
    <col min="27" max="27" width="17.42578125" bestFit="1" customWidth="1"/>
    <col min="28" max="28" width="11" bestFit="1" customWidth="1"/>
    <col min="29" max="29" width="23.5703125" bestFit="1" customWidth="1"/>
    <col min="30" max="30" width="11" bestFit="1" customWidth="1"/>
    <col min="31" max="31" width="26.28515625" bestFit="1" customWidth="1"/>
    <col min="32" max="32" width="11" bestFit="1" customWidth="1"/>
    <col min="33" max="33" width="17.42578125" bestFit="1" customWidth="1"/>
    <col min="34" max="34" width="11" bestFit="1" customWidth="1"/>
    <col min="35" max="35" width="25.7109375" bestFit="1" customWidth="1"/>
    <col min="36" max="36" width="11" bestFit="1" customWidth="1"/>
    <col min="37" max="37" width="26.28515625" bestFit="1" customWidth="1"/>
    <col min="38" max="38" width="11" bestFit="1" customWidth="1"/>
    <col min="39" max="39" width="21.85546875" bestFit="1" customWidth="1"/>
    <col min="40" max="40" width="11" bestFit="1" customWidth="1"/>
    <col min="41" max="41" width="23.140625" bestFit="1" customWidth="1"/>
    <col min="42" max="42" width="11" bestFit="1" customWidth="1"/>
    <col min="43" max="43" width="29.85546875" bestFit="1" customWidth="1"/>
    <col min="44" max="44" width="11" bestFit="1" customWidth="1"/>
    <col min="45" max="45" width="32.42578125" bestFit="1" customWidth="1"/>
    <col min="46" max="46" width="11" bestFit="1" customWidth="1"/>
    <col min="47" max="47" width="17.42578125" bestFit="1" customWidth="1"/>
    <col min="48" max="48" width="11" bestFit="1" customWidth="1"/>
    <col min="49" max="49" width="40.7109375" bestFit="1" customWidth="1"/>
    <col min="50" max="50" width="11" bestFit="1" customWidth="1"/>
    <col min="51" max="51" width="18.140625" bestFit="1" customWidth="1"/>
    <col min="52" max="52" width="11" bestFit="1" customWidth="1"/>
    <col min="53" max="53" width="27.28515625" bestFit="1" customWidth="1"/>
    <col min="54" max="54" width="11" bestFit="1" customWidth="1"/>
    <col min="55" max="55" width="23.28515625" bestFit="1" customWidth="1"/>
    <col min="56" max="56" width="11" bestFit="1" customWidth="1"/>
    <col min="57" max="57" width="19" bestFit="1" customWidth="1"/>
    <col min="58" max="58" width="11" bestFit="1" customWidth="1"/>
    <col min="59" max="59" width="27.28515625" bestFit="1" customWidth="1"/>
    <col min="60" max="60" width="11" bestFit="1" customWidth="1"/>
    <col min="61" max="61" width="24.42578125" bestFit="1" customWidth="1"/>
    <col min="62" max="62" width="11" bestFit="1" customWidth="1"/>
    <col min="63" max="63" width="17.85546875" bestFit="1" customWidth="1"/>
    <col min="64" max="64" width="11" bestFit="1" customWidth="1"/>
    <col min="65" max="65" width="24.28515625" bestFit="1" customWidth="1"/>
    <col min="66" max="66" width="11" bestFit="1" customWidth="1"/>
    <col min="67" max="67" width="23.5703125" bestFit="1" customWidth="1"/>
    <col min="68" max="68" width="11" bestFit="1" customWidth="1"/>
    <col min="69" max="69" width="36.28515625" bestFit="1" customWidth="1"/>
    <col min="70" max="70" width="11" bestFit="1" customWidth="1"/>
    <col min="71" max="71" width="20.85546875" bestFit="1" customWidth="1"/>
    <col min="72" max="72" width="11" bestFit="1" customWidth="1"/>
    <col min="73" max="73" width="18.28515625" bestFit="1" customWidth="1"/>
    <col min="74" max="74" width="11" bestFit="1" customWidth="1"/>
    <col min="75" max="75" width="17.42578125" bestFit="1" customWidth="1"/>
    <col min="76" max="76" width="11" bestFit="1" customWidth="1"/>
    <col min="77" max="77" width="20.7109375" bestFit="1" customWidth="1"/>
    <col min="78" max="78" width="11" bestFit="1" customWidth="1"/>
    <col min="79" max="79" width="52.7109375" bestFit="1" customWidth="1"/>
    <col min="80" max="80" width="11" bestFit="1" customWidth="1"/>
    <col min="81" max="81" width="22.42578125" bestFit="1" customWidth="1"/>
    <col min="82" max="82" width="16" bestFit="1" customWidth="1"/>
    <col min="83" max="83" width="17" bestFit="1" customWidth="1"/>
    <col min="84" max="84" width="20.28515625" bestFit="1" customWidth="1"/>
    <col min="85" max="86" width="17" bestFit="1" customWidth="1"/>
    <col min="87" max="87" width="27.28515625" bestFit="1" customWidth="1"/>
    <col min="88" max="89" width="17" bestFit="1" customWidth="1"/>
    <col min="90" max="90" width="24.42578125" bestFit="1" customWidth="1"/>
    <col min="91" max="92" width="17" bestFit="1" customWidth="1"/>
    <col min="93" max="93" width="20.28515625" bestFit="1" customWidth="1"/>
    <col min="94" max="95" width="17" bestFit="1" customWidth="1"/>
    <col min="96" max="96" width="24.28515625" bestFit="1" customWidth="1"/>
    <col min="97" max="98" width="17" bestFit="1" customWidth="1"/>
    <col min="99" max="99" width="23.5703125" bestFit="1" customWidth="1"/>
    <col min="100" max="101" width="17" bestFit="1" customWidth="1"/>
    <col min="102" max="102" width="36.28515625" bestFit="1" customWidth="1"/>
    <col min="103" max="104" width="17" bestFit="1" customWidth="1"/>
    <col min="105" max="105" width="20.85546875" bestFit="1" customWidth="1"/>
    <col min="106" max="107" width="17" bestFit="1" customWidth="1"/>
    <col min="108" max="108" width="20.28515625" bestFit="1" customWidth="1"/>
    <col min="109" max="110" width="17" bestFit="1" customWidth="1"/>
    <col min="111" max="111" width="20.28515625" bestFit="1" customWidth="1"/>
    <col min="112" max="113" width="17" bestFit="1" customWidth="1"/>
    <col min="114" max="114" width="20.7109375" bestFit="1" customWidth="1"/>
    <col min="115" max="116" width="17" bestFit="1" customWidth="1"/>
    <col min="117" max="117" width="52.7109375" bestFit="1" customWidth="1"/>
    <col min="118" max="119" width="17" bestFit="1" customWidth="1"/>
    <col min="120" max="120" width="25.28515625" bestFit="1" customWidth="1"/>
    <col min="121" max="122" width="22.140625" bestFit="1" customWidth="1"/>
  </cols>
  <sheetData>
    <row r="3" spans="2:6">
      <c r="C3" s="390" t="s">
        <v>243</v>
      </c>
    </row>
    <row r="4" spans="2:6">
      <c r="C4" t="s">
        <v>160</v>
      </c>
      <c r="E4" t="s">
        <v>252</v>
      </c>
      <c r="F4" t="s">
        <v>253</v>
      </c>
    </row>
    <row r="5" spans="2:6">
      <c r="B5" s="390" t="s">
        <v>237</v>
      </c>
      <c r="C5" t="s">
        <v>254</v>
      </c>
      <c r="D5" t="s">
        <v>255</v>
      </c>
    </row>
    <row r="6" spans="2:6">
      <c r="B6" s="393">
        <v>44287</v>
      </c>
      <c r="C6">
        <v>0.93939393939393945</v>
      </c>
      <c r="D6">
        <v>0.8</v>
      </c>
      <c r="E6">
        <v>0.93939393939393945</v>
      </c>
      <c r="F6">
        <v>0.8</v>
      </c>
    </row>
    <row r="7" spans="2:6">
      <c r="B7" s="393">
        <v>44317</v>
      </c>
      <c r="C7">
        <v>0.93939393939393945</v>
      </c>
      <c r="D7">
        <v>0.8</v>
      </c>
      <c r="E7">
        <v>0.93939393939393945</v>
      </c>
      <c r="F7">
        <v>0.8</v>
      </c>
    </row>
    <row r="8" spans="2:6">
      <c r="B8" s="393">
        <v>44348</v>
      </c>
      <c r="C8">
        <v>0.27272727272727271</v>
      </c>
      <c r="D8">
        <v>0.8</v>
      </c>
      <c r="E8">
        <v>0.27272727272727271</v>
      </c>
      <c r="F8">
        <v>0.8</v>
      </c>
    </row>
    <row r="9" spans="2:6">
      <c r="B9" s="393">
        <v>44378</v>
      </c>
      <c r="C9">
        <v>0.3125</v>
      </c>
      <c r="D9">
        <v>0.8</v>
      </c>
      <c r="E9">
        <v>0.3125</v>
      </c>
      <c r="F9">
        <v>0.8</v>
      </c>
    </row>
    <row r="10" spans="2:6">
      <c r="B10" s="393">
        <v>44409</v>
      </c>
      <c r="C10">
        <v>0.34375</v>
      </c>
      <c r="D10">
        <v>0.8</v>
      </c>
      <c r="E10">
        <v>0.34375</v>
      </c>
      <c r="F10">
        <v>0.8</v>
      </c>
    </row>
    <row r="11" spans="2:6">
      <c r="B11" s="393">
        <v>44440</v>
      </c>
      <c r="C11">
        <v>0.54545454545454541</v>
      </c>
      <c r="D11">
        <v>0.8</v>
      </c>
      <c r="E11">
        <v>0.54545454545454541</v>
      </c>
      <c r="F11">
        <v>0.8</v>
      </c>
    </row>
    <row r="12" spans="2:6">
      <c r="B12" s="393">
        <v>44470</v>
      </c>
      <c r="C12">
        <v>0.75757575757575757</v>
      </c>
      <c r="D12">
        <v>0.8</v>
      </c>
      <c r="E12">
        <v>0.75757575757575757</v>
      </c>
      <c r="F12">
        <v>0.8</v>
      </c>
    </row>
    <row r="13" spans="2:6">
      <c r="B13" s="393">
        <v>44501</v>
      </c>
      <c r="C13">
        <v>0.75</v>
      </c>
      <c r="D13">
        <v>0.8</v>
      </c>
      <c r="E13">
        <v>0.75</v>
      </c>
      <c r="F13">
        <v>0.8</v>
      </c>
    </row>
    <row r="14" spans="2:6">
      <c r="B14" s="393">
        <v>44531</v>
      </c>
      <c r="C14">
        <v>0.75757575757575757</v>
      </c>
      <c r="D14">
        <v>0.8</v>
      </c>
      <c r="E14">
        <v>0.75757575757575757</v>
      </c>
      <c r="F14">
        <v>0.8</v>
      </c>
    </row>
    <row r="15" spans="2:6">
      <c r="B15" s="393">
        <v>44562</v>
      </c>
      <c r="C15">
        <v>0.75757575757575757</v>
      </c>
      <c r="D15">
        <v>0.8</v>
      </c>
      <c r="E15">
        <v>0.75757575757575757</v>
      </c>
      <c r="F15">
        <v>0.8</v>
      </c>
    </row>
    <row r="16" spans="2:6">
      <c r="B16" s="393">
        <v>44593</v>
      </c>
      <c r="C16">
        <v>0.84848484848484851</v>
      </c>
      <c r="D16">
        <v>0.8</v>
      </c>
      <c r="E16">
        <v>0.84848484848484851</v>
      </c>
      <c r="F16">
        <v>0.8</v>
      </c>
    </row>
    <row r="17" spans="2:6">
      <c r="B17" s="393">
        <v>44621</v>
      </c>
      <c r="C17">
        <v>0.82352941176470584</v>
      </c>
      <c r="D17">
        <v>0.8</v>
      </c>
      <c r="E17">
        <v>0.82352941176470584</v>
      </c>
      <c r="F17">
        <v>0.8</v>
      </c>
    </row>
    <row r="18" spans="2:6">
      <c r="B18" s="393">
        <v>44652</v>
      </c>
      <c r="C18">
        <v>0.82857142857142863</v>
      </c>
      <c r="D18">
        <v>0.8</v>
      </c>
      <c r="E18">
        <v>0.82857142857142863</v>
      </c>
      <c r="F18">
        <v>0.8</v>
      </c>
    </row>
    <row r="19" spans="2:6">
      <c r="B19" s="393" t="s">
        <v>242</v>
      </c>
      <c r="C19">
        <v>0.68531468531468531</v>
      </c>
      <c r="D19">
        <v>0.8</v>
      </c>
      <c r="E19">
        <v>0.68531468531468531</v>
      </c>
      <c r="F19">
        <v>0.8</v>
      </c>
    </row>
    <row r="33" spans="2:6">
      <c r="C33" s="390" t="s">
        <v>243</v>
      </c>
    </row>
    <row r="34" spans="2:6">
      <c r="C34" t="s">
        <v>160</v>
      </c>
      <c r="E34" t="s">
        <v>256</v>
      </c>
      <c r="F34" t="s">
        <v>257</v>
      </c>
    </row>
    <row r="35" spans="2:6">
      <c r="B35" s="390" t="s">
        <v>237</v>
      </c>
      <c r="C35" t="s">
        <v>258</v>
      </c>
      <c r="D35" t="s">
        <v>259</v>
      </c>
    </row>
    <row r="36" spans="2:6">
      <c r="B36" s="393">
        <v>44287</v>
      </c>
      <c r="C36">
        <v>0.78787878787878785</v>
      </c>
      <c r="D36">
        <v>0.55000000000000004</v>
      </c>
      <c r="E36">
        <v>0.78787878787878785</v>
      </c>
      <c r="F36">
        <v>0.55000000000000004</v>
      </c>
    </row>
    <row r="37" spans="2:6">
      <c r="B37" s="393">
        <v>44317</v>
      </c>
      <c r="C37">
        <v>0.78787878787878785</v>
      </c>
      <c r="D37">
        <v>0.55000000000000004</v>
      </c>
      <c r="E37">
        <v>0.78787878787878785</v>
      </c>
      <c r="F37">
        <v>0.55000000000000004</v>
      </c>
    </row>
    <row r="38" spans="2:6">
      <c r="B38" s="393">
        <v>44348</v>
      </c>
      <c r="C38">
        <v>0.27272727272727271</v>
      </c>
      <c r="D38">
        <v>0.55000000000000004</v>
      </c>
      <c r="E38">
        <v>0.27272727272727271</v>
      </c>
      <c r="F38">
        <v>0.55000000000000004</v>
      </c>
    </row>
    <row r="39" spans="2:6">
      <c r="B39" s="393">
        <v>44378</v>
      </c>
      <c r="C39">
        <v>0.25</v>
      </c>
      <c r="D39">
        <v>0.55000000000000004</v>
      </c>
      <c r="E39">
        <v>0.25</v>
      </c>
      <c r="F39">
        <v>0.55000000000000004</v>
      </c>
    </row>
    <row r="40" spans="2:6">
      <c r="B40" s="393">
        <v>44409</v>
      </c>
      <c r="C40">
        <v>0.25</v>
      </c>
      <c r="D40">
        <v>0.55000000000000004</v>
      </c>
      <c r="E40">
        <v>0.25</v>
      </c>
      <c r="F40">
        <v>0.55000000000000004</v>
      </c>
    </row>
    <row r="41" spans="2:6">
      <c r="B41" s="393">
        <v>44440</v>
      </c>
      <c r="C41">
        <v>0.45454545454545453</v>
      </c>
      <c r="D41">
        <v>0.55000000000000004</v>
      </c>
      <c r="E41">
        <v>0.45454545454545453</v>
      </c>
      <c r="F41">
        <v>0.55000000000000004</v>
      </c>
    </row>
    <row r="42" spans="2:6">
      <c r="B42" s="393">
        <v>44470</v>
      </c>
      <c r="C42">
        <v>0.63636363636363635</v>
      </c>
      <c r="D42">
        <v>0.55000000000000004</v>
      </c>
      <c r="E42">
        <v>0.63636363636363635</v>
      </c>
      <c r="F42">
        <v>0.55000000000000004</v>
      </c>
    </row>
    <row r="43" spans="2:6">
      <c r="B43" s="393">
        <v>44501</v>
      </c>
      <c r="C43">
        <v>0.625</v>
      </c>
      <c r="D43">
        <v>0.55000000000000004</v>
      </c>
      <c r="E43">
        <v>0.625</v>
      </c>
      <c r="F43">
        <v>0.55000000000000004</v>
      </c>
    </row>
    <row r="44" spans="2:6">
      <c r="B44" s="393">
        <v>44531</v>
      </c>
      <c r="C44">
        <v>0.5757575757575758</v>
      </c>
      <c r="D44">
        <v>0.55000000000000004</v>
      </c>
      <c r="E44">
        <v>0.5757575757575758</v>
      </c>
      <c r="F44">
        <v>0.55000000000000004</v>
      </c>
    </row>
    <row r="45" spans="2:6">
      <c r="B45" s="393">
        <v>44562</v>
      </c>
      <c r="C45">
        <v>0.60606060606060608</v>
      </c>
      <c r="D45">
        <v>0.55000000000000004</v>
      </c>
      <c r="E45">
        <v>0.60606060606060608</v>
      </c>
      <c r="F45">
        <v>0.55000000000000004</v>
      </c>
    </row>
    <row r="46" spans="2:6">
      <c r="B46" s="393">
        <v>44593</v>
      </c>
      <c r="C46">
        <v>0.69696969696969702</v>
      </c>
      <c r="D46">
        <v>0.55000000000000004</v>
      </c>
      <c r="E46">
        <v>0.69696969696969702</v>
      </c>
      <c r="F46">
        <v>0.55000000000000004</v>
      </c>
    </row>
    <row r="47" spans="2:6">
      <c r="B47" s="393">
        <v>44621</v>
      </c>
      <c r="C47">
        <v>0.67647058823529416</v>
      </c>
      <c r="D47">
        <v>0.55000000000000004</v>
      </c>
      <c r="E47">
        <v>0.67647058823529416</v>
      </c>
      <c r="F47">
        <v>0.55000000000000004</v>
      </c>
    </row>
    <row r="48" spans="2:6">
      <c r="B48" s="393">
        <v>44652</v>
      </c>
      <c r="C48">
        <v>0.65714285714285714</v>
      </c>
      <c r="D48">
        <v>0.55000000000000004</v>
      </c>
      <c r="E48">
        <v>0.65714285714285714</v>
      </c>
      <c r="F48">
        <v>0.55000000000000004</v>
      </c>
    </row>
    <row r="49" spans="2:6">
      <c r="B49" s="393" t="s">
        <v>242</v>
      </c>
      <c r="C49">
        <v>0.56177156177156173</v>
      </c>
      <c r="D49">
        <v>0.55000000000000004</v>
      </c>
      <c r="E49">
        <v>0.56177156177156173</v>
      </c>
      <c r="F49">
        <v>0.55000000000000004</v>
      </c>
    </row>
    <row r="57" spans="2:6">
      <c r="C57" s="390" t="s">
        <v>243</v>
      </c>
    </row>
    <row r="58" spans="2:6">
      <c r="C58" t="s">
        <v>160</v>
      </c>
      <c r="E58" t="s">
        <v>260</v>
      </c>
      <c r="F58" t="s">
        <v>261</v>
      </c>
    </row>
    <row r="59" spans="2:6">
      <c r="B59" s="390" t="s">
        <v>237</v>
      </c>
      <c r="C59" t="s">
        <v>262</v>
      </c>
      <c r="D59" t="s">
        <v>263</v>
      </c>
    </row>
    <row r="60" spans="2:6">
      <c r="B60" s="393">
        <v>44287</v>
      </c>
      <c r="C60">
        <v>0.87878787878787878</v>
      </c>
      <c r="D60">
        <v>0.57999999999999996</v>
      </c>
      <c r="E60">
        <v>0.87878787878787878</v>
      </c>
      <c r="F60">
        <v>0.57999999999999996</v>
      </c>
    </row>
    <row r="61" spans="2:6">
      <c r="B61" s="393">
        <v>44317</v>
      </c>
      <c r="C61">
        <v>0.87878787878787878</v>
      </c>
      <c r="D61">
        <v>0.57999999999999996</v>
      </c>
      <c r="E61">
        <v>0.87878787878787878</v>
      </c>
      <c r="F61">
        <v>0.57999999999999996</v>
      </c>
    </row>
    <row r="62" spans="2:6">
      <c r="B62" s="393">
        <v>44348</v>
      </c>
      <c r="C62">
        <v>0.21212121212121213</v>
      </c>
      <c r="D62">
        <v>0.57999999999999996</v>
      </c>
      <c r="E62">
        <v>0.21212121212121213</v>
      </c>
      <c r="F62">
        <v>0.57999999999999996</v>
      </c>
    </row>
    <row r="63" spans="2:6">
      <c r="B63" s="393">
        <v>44378</v>
      </c>
      <c r="C63">
        <v>0.25</v>
      </c>
      <c r="D63">
        <v>0.57999999999999996</v>
      </c>
      <c r="E63">
        <v>0.25</v>
      </c>
      <c r="F63">
        <v>0.57999999999999996</v>
      </c>
    </row>
    <row r="64" spans="2:6">
      <c r="B64" s="393">
        <v>44409</v>
      </c>
      <c r="C64">
        <v>0.28125</v>
      </c>
      <c r="D64">
        <v>0.57999999999999996</v>
      </c>
      <c r="E64">
        <v>0.28125</v>
      </c>
      <c r="F64">
        <v>0.57999999999999996</v>
      </c>
    </row>
    <row r="65" spans="2:6">
      <c r="B65" s="393">
        <v>44440</v>
      </c>
      <c r="C65">
        <v>0.48484848484848486</v>
      </c>
      <c r="D65">
        <v>0.57999999999999996</v>
      </c>
      <c r="E65">
        <v>0.48484848484848486</v>
      </c>
      <c r="F65">
        <v>0.57999999999999996</v>
      </c>
    </row>
    <row r="66" spans="2:6">
      <c r="B66" s="393">
        <v>44470</v>
      </c>
      <c r="C66">
        <v>0.72727272727272729</v>
      </c>
      <c r="D66">
        <v>0.57999999999999996</v>
      </c>
      <c r="E66">
        <v>0.72727272727272729</v>
      </c>
      <c r="F66">
        <v>0.57999999999999996</v>
      </c>
    </row>
    <row r="67" spans="2:6">
      <c r="B67" s="393">
        <v>44501</v>
      </c>
      <c r="C67">
        <v>0.71875</v>
      </c>
      <c r="D67">
        <v>0.57999999999999996</v>
      </c>
      <c r="E67">
        <v>0.71875</v>
      </c>
      <c r="F67">
        <v>0.57999999999999996</v>
      </c>
    </row>
    <row r="68" spans="2:6">
      <c r="B68" s="393">
        <v>44531</v>
      </c>
      <c r="C68">
        <v>0.75757575757575757</v>
      </c>
      <c r="D68">
        <v>0.57999999999999996</v>
      </c>
      <c r="E68">
        <v>0.75757575757575757</v>
      </c>
      <c r="F68">
        <v>0.57999999999999996</v>
      </c>
    </row>
    <row r="69" spans="2:6">
      <c r="B69" s="393">
        <v>44562</v>
      </c>
      <c r="C69">
        <v>0.75757575757575757</v>
      </c>
      <c r="D69">
        <v>0.57999999999999996</v>
      </c>
      <c r="E69">
        <v>0.75757575757575757</v>
      </c>
      <c r="F69">
        <v>0.57999999999999996</v>
      </c>
    </row>
    <row r="70" spans="2:6">
      <c r="B70" s="393">
        <v>44593</v>
      </c>
      <c r="C70">
        <v>0.84848484848484851</v>
      </c>
      <c r="D70">
        <v>0.57999999999999996</v>
      </c>
      <c r="E70">
        <v>0.84848484848484851</v>
      </c>
      <c r="F70">
        <v>0.57999999999999996</v>
      </c>
    </row>
    <row r="71" spans="2:6">
      <c r="B71" s="393">
        <v>44621</v>
      </c>
      <c r="C71">
        <v>0.82352941176470584</v>
      </c>
      <c r="D71">
        <v>0.57999999999999996</v>
      </c>
      <c r="E71">
        <v>0.82352941176470584</v>
      </c>
      <c r="F71">
        <v>0.57999999999999996</v>
      </c>
    </row>
    <row r="72" spans="2:6">
      <c r="B72" s="393">
        <v>44652</v>
      </c>
      <c r="C72">
        <v>0.8</v>
      </c>
      <c r="D72">
        <v>0.57999999999999996</v>
      </c>
      <c r="E72">
        <v>0.8</v>
      </c>
      <c r="F72">
        <v>0.57999999999999996</v>
      </c>
    </row>
    <row r="73" spans="2:6">
      <c r="B73" s="393" t="s">
        <v>242</v>
      </c>
      <c r="C73">
        <v>0.65034965034965031</v>
      </c>
      <c r="D73">
        <v>0.57999999999999996</v>
      </c>
      <c r="E73">
        <v>0.65034965034965031</v>
      </c>
      <c r="F73">
        <v>0.57999999999999996</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8334E3-04F0-405C-8B9A-9D97FB6F65FD}">
  <dimension ref="B3:F72"/>
  <sheetViews>
    <sheetView topLeftCell="A34" workbookViewId="0">
      <selection activeCell="C62" sqref="C62"/>
    </sheetView>
  </sheetViews>
  <sheetFormatPr defaultRowHeight="15"/>
  <cols>
    <col min="2" max="2" width="13.140625" bestFit="1" customWidth="1"/>
    <col min="3" max="3" width="28" bestFit="1" customWidth="1"/>
    <col min="4" max="4" width="10.5703125" bestFit="1" customWidth="1"/>
    <col min="5" max="5" width="26" bestFit="1" customWidth="1"/>
    <col min="6" max="6" width="15.5703125" bestFit="1" customWidth="1"/>
    <col min="7" max="7" width="23.28515625" bestFit="1" customWidth="1"/>
    <col min="8" max="8" width="11.140625" bestFit="1" customWidth="1"/>
    <col min="9" max="9" width="28.7109375" bestFit="1" customWidth="1"/>
    <col min="10" max="10" width="11.140625" bestFit="1" customWidth="1"/>
    <col min="11" max="11" width="25.140625" bestFit="1" customWidth="1"/>
    <col min="12" max="12" width="11.140625" bestFit="1" customWidth="1"/>
    <col min="13" max="13" width="23.28515625" bestFit="1" customWidth="1"/>
    <col min="14" max="14" width="11.140625" bestFit="1" customWidth="1"/>
    <col min="15" max="15" width="24.7109375" bestFit="1" customWidth="1"/>
    <col min="16" max="16" width="11.140625" bestFit="1" customWidth="1"/>
    <col min="17" max="17" width="23.28515625" bestFit="1" customWidth="1"/>
    <col min="18" max="18" width="11.140625" bestFit="1" customWidth="1"/>
    <col min="19" max="19" width="23.28515625" bestFit="1" customWidth="1"/>
    <col min="20" max="20" width="11.140625" bestFit="1" customWidth="1"/>
    <col min="21" max="21" width="23.28515625" bestFit="1" customWidth="1"/>
    <col min="22" max="22" width="11.140625" bestFit="1" customWidth="1"/>
    <col min="23" max="23" width="26.5703125" bestFit="1" customWidth="1"/>
    <col min="24" max="24" width="11.140625" bestFit="1" customWidth="1"/>
    <col min="25" max="25" width="25.5703125" bestFit="1" customWidth="1"/>
    <col min="26" max="26" width="11.140625" bestFit="1" customWidth="1"/>
    <col min="27" max="27" width="23.28515625" bestFit="1" customWidth="1"/>
    <col min="28" max="28" width="11.140625" bestFit="1" customWidth="1"/>
    <col min="29" max="29" width="23.5703125" bestFit="1" customWidth="1"/>
    <col min="30" max="30" width="11.140625" bestFit="1" customWidth="1"/>
    <col min="31" max="31" width="26.28515625" bestFit="1" customWidth="1"/>
    <col min="32" max="32" width="11.140625" bestFit="1" customWidth="1"/>
    <col min="33" max="33" width="23.28515625" bestFit="1" customWidth="1"/>
    <col min="34" max="34" width="11.140625" bestFit="1" customWidth="1"/>
    <col min="35" max="35" width="25.7109375" bestFit="1" customWidth="1"/>
    <col min="36" max="36" width="11.140625" bestFit="1" customWidth="1"/>
    <col min="37" max="37" width="26.28515625" bestFit="1" customWidth="1"/>
    <col min="38" max="38" width="11.140625" bestFit="1" customWidth="1"/>
    <col min="39" max="39" width="23.28515625" bestFit="1" customWidth="1"/>
    <col min="40" max="40" width="11.140625" bestFit="1" customWidth="1"/>
    <col min="41" max="41" width="23.28515625" bestFit="1" customWidth="1"/>
    <col min="42" max="42" width="11.140625" bestFit="1" customWidth="1"/>
    <col min="43" max="43" width="29.85546875" bestFit="1" customWidth="1"/>
    <col min="44" max="44" width="11.140625" bestFit="1" customWidth="1"/>
    <col min="45" max="45" width="32.42578125" bestFit="1" customWidth="1"/>
    <col min="46" max="46" width="11.140625" bestFit="1" customWidth="1"/>
    <col min="47" max="47" width="23.28515625" bestFit="1" customWidth="1"/>
    <col min="48" max="48" width="11.140625" bestFit="1" customWidth="1"/>
    <col min="49" max="49" width="40.7109375" bestFit="1" customWidth="1"/>
    <col min="50" max="50" width="11.140625" bestFit="1" customWidth="1"/>
    <col min="51" max="51" width="23.28515625" bestFit="1" customWidth="1"/>
    <col min="52" max="52" width="11.140625" bestFit="1" customWidth="1"/>
    <col min="53" max="53" width="27.28515625" bestFit="1" customWidth="1"/>
    <col min="54" max="54" width="11.140625" bestFit="1" customWidth="1"/>
    <col min="55" max="55" width="23.28515625" bestFit="1" customWidth="1"/>
    <col min="56" max="56" width="11.140625" bestFit="1" customWidth="1"/>
    <col min="57" max="57" width="23.28515625" bestFit="1" customWidth="1"/>
    <col min="58" max="58" width="11.140625" bestFit="1" customWidth="1"/>
    <col min="59" max="59" width="27.28515625" bestFit="1" customWidth="1"/>
    <col min="60" max="60" width="11.140625" bestFit="1" customWidth="1"/>
    <col min="61" max="61" width="24.42578125" bestFit="1" customWidth="1"/>
    <col min="62" max="62" width="11.140625" bestFit="1" customWidth="1"/>
    <col min="63" max="63" width="23.28515625" bestFit="1" customWidth="1"/>
    <col min="64" max="64" width="11.140625" bestFit="1" customWidth="1"/>
    <col min="65" max="65" width="24.28515625" bestFit="1" customWidth="1"/>
    <col min="66" max="66" width="11.140625" bestFit="1" customWidth="1"/>
    <col min="67" max="67" width="23.5703125" bestFit="1" customWidth="1"/>
    <col min="68" max="68" width="11.140625" bestFit="1" customWidth="1"/>
    <col min="69" max="69" width="36.28515625" bestFit="1" customWidth="1"/>
    <col min="70" max="70" width="11.140625" bestFit="1" customWidth="1"/>
    <col min="71" max="71" width="23.28515625" bestFit="1" customWidth="1"/>
    <col min="72" max="72" width="11.140625" bestFit="1" customWidth="1"/>
    <col min="73" max="73" width="23.28515625" bestFit="1" customWidth="1"/>
    <col min="74" max="74" width="11.140625" bestFit="1" customWidth="1"/>
    <col min="75" max="75" width="23.28515625" bestFit="1" customWidth="1"/>
    <col min="76" max="76" width="11.140625" bestFit="1" customWidth="1"/>
    <col min="77" max="77" width="23.28515625" bestFit="1" customWidth="1"/>
    <col min="78" max="78" width="11.140625" bestFit="1" customWidth="1"/>
    <col min="79" max="79" width="52.7109375" bestFit="1" customWidth="1"/>
    <col min="80" max="80" width="11.140625" bestFit="1" customWidth="1"/>
    <col min="81" max="81" width="28.28515625" bestFit="1" customWidth="1"/>
    <col min="82" max="82" width="16.140625" bestFit="1" customWidth="1"/>
  </cols>
  <sheetData>
    <row r="3" spans="2:6">
      <c r="C3" s="390" t="s">
        <v>243</v>
      </c>
    </row>
    <row r="4" spans="2:6">
      <c r="C4" t="s">
        <v>160</v>
      </c>
      <c r="E4" t="s">
        <v>264</v>
      </c>
      <c r="F4" t="s">
        <v>265</v>
      </c>
    </row>
    <row r="5" spans="2:6">
      <c r="B5" s="390" t="s">
        <v>237</v>
      </c>
      <c r="C5" t="s">
        <v>266</v>
      </c>
      <c r="D5" t="s">
        <v>267</v>
      </c>
    </row>
    <row r="6" spans="2:6">
      <c r="B6" s="393">
        <v>44287</v>
      </c>
      <c r="C6">
        <v>0.80243161094224924</v>
      </c>
      <c r="D6">
        <v>0.71</v>
      </c>
      <c r="E6">
        <v>0.80243161094224924</v>
      </c>
      <c r="F6">
        <v>0.71</v>
      </c>
    </row>
    <row r="7" spans="2:6">
      <c r="B7" s="393">
        <v>44317</v>
      </c>
      <c r="C7">
        <v>0.79012345679012341</v>
      </c>
      <c r="D7">
        <v>0.71</v>
      </c>
      <c r="E7">
        <v>0.79012345679012341</v>
      </c>
      <c r="F7">
        <v>0.71</v>
      </c>
    </row>
    <row r="8" spans="2:6">
      <c r="B8" s="393">
        <v>44348</v>
      </c>
      <c r="C8">
        <v>0.57643312101910826</v>
      </c>
      <c r="D8">
        <v>0.71</v>
      </c>
      <c r="E8">
        <v>0.57643312101910826</v>
      </c>
      <c r="F8">
        <v>0.71</v>
      </c>
    </row>
    <row r="9" spans="2:6">
      <c r="B9" s="393">
        <v>44378</v>
      </c>
      <c r="C9">
        <v>0.48571428571428571</v>
      </c>
      <c r="D9">
        <v>0.71</v>
      </c>
      <c r="E9">
        <v>0.48571428571428571</v>
      </c>
      <c r="F9">
        <v>0.71</v>
      </c>
    </row>
    <row r="10" spans="2:6">
      <c r="B10" s="393">
        <v>44409</v>
      </c>
      <c r="C10">
        <v>0.61708860759493667</v>
      </c>
      <c r="D10">
        <v>0.71</v>
      </c>
      <c r="E10">
        <v>0.61708860759493667</v>
      </c>
      <c r="F10">
        <v>0.71</v>
      </c>
    </row>
    <row r="11" spans="2:6">
      <c r="B11" s="393">
        <v>44440</v>
      </c>
      <c r="C11">
        <v>0.66352201257861632</v>
      </c>
      <c r="D11">
        <v>0.71</v>
      </c>
      <c r="E11">
        <v>0.66352201257861632</v>
      </c>
      <c r="F11">
        <v>0.71</v>
      </c>
    </row>
    <row r="12" spans="2:6">
      <c r="B12" s="393">
        <v>44470</v>
      </c>
      <c r="C12">
        <v>0.70476190476190481</v>
      </c>
      <c r="D12">
        <v>0.71</v>
      </c>
      <c r="E12">
        <v>0.70476190476190481</v>
      </c>
      <c r="F12">
        <v>0.71</v>
      </c>
    </row>
    <row r="13" spans="2:6">
      <c r="B13" s="393">
        <v>44501</v>
      </c>
      <c r="C13">
        <v>0.74143302180685355</v>
      </c>
      <c r="D13">
        <v>0.71</v>
      </c>
      <c r="E13">
        <v>0.74143302180685355</v>
      </c>
      <c r="F13">
        <v>0.71</v>
      </c>
    </row>
    <row r="14" spans="2:6">
      <c r="B14" s="393">
        <v>44531</v>
      </c>
      <c r="C14">
        <v>0.79076923076923078</v>
      </c>
      <c r="D14">
        <v>0.71</v>
      </c>
      <c r="E14">
        <v>0.79076923076923078</v>
      </c>
      <c r="F14">
        <v>0.71</v>
      </c>
    </row>
    <row r="15" spans="2:6">
      <c r="B15" s="393">
        <v>44562</v>
      </c>
      <c r="C15">
        <v>0.83433734939759041</v>
      </c>
      <c r="D15">
        <v>0.71</v>
      </c>
      <c r="E15">
        <v>0.83433734939759041</v>
      </c>
      <c r="F15">
        <v>0.71</v>
      </c>
    </row>
    <row r="16" spans="2:6">
      <c r="B16" s="393">
        <v>44593</v>
      </c>
      <c r="C16">
        <v>0.84638554216867468</v>
      </c>
      <c r="D16">
        <v>0.71</v>
      </c>
      <c r="E16">
        <v>0.84638554216867468</v>
      </c>
      <c r="F16">
        <v>0.71</v>
      </c>
    </row>
    <row r="17" spans="2:6">
      <c r="B17" s="393">
        <v>44621</v>
      </c>
      <c r="C17">
        <v>0.8571428571428571</v>
      </c>
      <c r="D17">
        <v>0.71</v>
      </c>
      <c r="E17">
        <v>0.8571428571428571</v>
      </c>
      <c r="F17">
        <v>0.71</v>
      </c>
    </row>
    <row r="18" spans="2:6">
      <c r="B18" s="393">
        <v>44652</v>
      </c>
      <c r="C18">
        <v>0.85151515151515156</v>
      </c>
      <c r="D18">
        <v>0.71</v>
      </c>
      <c r="E18">
        <v>0.85151515151515156</v>
      </c>
      <c r="F18">
        <v>0.71</v>
      </c>
    </row>
    <row r="19" spans="2:6">
      <c r="B19" s="393" t="s">
        <v>242</v>
      </c>
      <c r="C19">
        <v>0.73761904761904762</v>
      </c>
      <c r="D19">
        <v>0.71</v>
      </c>
      <c r="E19">
        <v>0.73761904761904762</v>
      </c>
      <c r="F19">
        <v>0.71</v>
      </c>
    </row>
    <row r="31" spans="2:6">
      <c r="C31" s="390" t="s">
        <v>243</v>
      </c>
    </row>
    <row r="32" spans="2:6">
      <c r="C32" t="s">
        <v>160</v>
      </c>
      <c r="E32" t="s">
        <v>268</v>
      </c>
      <c r="F32" t="s">
        <v>269</v>
      </c>
    </row>
    <row r="33" spans="2:6">
      <c r="B33" s="390" t="s">
        <v>237</v>
      </c>
      <c r="C33" t="s">
        <v>270</v>
      </c>
      <c r="D33" t="s">
        <v>271</v>
      </c>
    </row>
    <row r="34" spans="2:6">
      <c r="B34" s="393">
        <v>44287</v>
      </c>
      <c r="C34">
        <v>0.76899696048632216</v>
      </c>
      <c r="D34">
        <v>0.9</v>
      </c>
      <c r="E34">
        <v>0.76899696048632216</v>
      </c>
      <c r="F34">
        <v>0.9</v>
      </c>
    </row>
    <row r="35" spans="2:6">
      <c r="B35" s="393">
        <v>44317</v>
      </c>
      <c r="C35">
        <v>0.76234567901234573</v>
      </c>
      <c r="D35">
        <v>0.9</v>
      </c>
      <c r="E35">
        <v>0.76234567901234573</v>
      </c>
      <c r="F35">
        <v>0.9</v>
      </c>
    </row>
    <row r="36" spans="2:6">
      <c r="B36" s="393">
        <v>44348</v>
      </c>
      <c r="C36">
        <v>0.56050955414012738</v>
      </c>
      <c r="D36">
        <v>0.9</v>
      </c>
      <c r="E36">
        <v>0.56050955414012738</v>
      </c>
      <c r="F36">
        <v>0.9</v>
      </c>
    </row>
    <row r="37" spans="2:6">
      <c r="B37" s="393">
        <v>44378</v>
      </c>
      <c r="C37">
        <v>0.46666666666666667</v>
      </c>
      <c r="D37">
        <v>0.9</v>
      </c>
      <c r="E37">
        <v>0.46666666666666667</v>
      </c>
      <c r="F37">
        <v>0.9</v>
      </c>
    </row>
    <row r="38" spans="2:6">
      <c r="B38" s="393">
        <v>44409</v>
      </c>
      <c r="C38">
        <v>0.60759493670886078</v>
      </c>
      <c r="D38">
        <v>0.9</v>
      </c>
      <c r="E38">
        <v>0.60759493670886078</v>
      </c>
      <c r="F38">
        <v>0.9</v>
      </c>
    </row>
    <row r="39" spans="2:6">
      <c r="B39" s="393">
        <v>44440</v>
      </c>
      <c r="C39">
        <v>0.65094339622641506</v>
      </c>
      <c r="D39">
        <v>0.9</v>
      </c>
      <c r="E39">
        <v>0.65094339622641506</v>
      </c>
      <c r="F39">
        <v>0.9</v>
      </c>
    </row>
    <row r="40" spans="2:6">
      <c r="B40" s="393">
        <v>44470</v>
      </c>
      <c r="C40">
        <v>0.69206349206349205</v>
      </c>
      <c r="D40">
        <v>0.9</v>
      </c>
      <c r="E40">
        <v>0.69206349206349205</v>
      </c>
      <c r="F40">
        <v>0.9</v>
      </c>
    </row>
    <row r="41" spans="2:6">
      <c r="B41" s="393">
        <v>44501</v>
      </c>
      <c r="C41">
        <v>0.72585669781931461</v>
      </c>
      <c r="D41">
        <v>0.9</v>
      </c>
      <c r="E41">
        <v>0.72585669781931461</v>
      </c>
      <c r="F41">
        <v>0.9</v>
      </c>
    </row>
    <row r="42" spans="2:6">
      <c r="B42" s="393">
        <v>44531</v>
      </c>
      <c r="C42">
        <v>0.78153846153846152</v>
      </c>
      <c r="D42">
        <v>0.9</v>
      </c>
      <c r="E42">
        <v>0.78153846153846152</v>
      </c>
      <c r="F42">
        <v>0.9</v>
      </c>
    </row>
    <row r="43" spans="2:6">
      <c r="B43" s="393">
        <v>44562</v>
      </c>
      <c r="C43">
        <v>0.82228915662650603</v>
      </c>
      <c r="D43">
        <v>0.9</v>
      </c>
      <c r="E43">
        <v>0.82228915662650603</v>
      </c>
      <c r="F43">
        <v>0.9</v>
      </c>
    </row>
    <row r="44" spans="2:6">
      <c r="B44" s="393">
        <v>44593</v>
      </c>
      <c r="C44">
        <v>0.83734939759036142</v>
      </c>
      <c r="D44">
        <v>0.9</v>
      </c>
      <c r="E44">
        <v>0.83734939759036142</v>
      </c>
      <c r="F44">
        <v>0.9</v>
      </c>
    </row>
    <row r="45" spans="2:6">
      <c r="B45" s="393">
        <v>44621</v>
      </c>
      <c r="C45">
        <v>0.84802431610942253</v>
      </c>
      <c r="D45">
        <v>0.9</v>
      </c>
      <c r="E45">
        <v>0.84802431610942253</v>
      </c>
      <c r="F45">
        <v>0.9</v>
      </c>
    </row>
    <row r="46" spans="2:6">
      <c r="B46" s="393">
        <v>44652</v>
      </c>
      <c r="C46">
        <v>0.84242424242424241</v>
      </c>
      <c r="D46">
        <v>0.9</v>
      </c>
      <c r="E46">
        <v>0.84242424242424241</v>
      </c>
      <c r="F46">
        <v>0.9</v>
      </c>
    </row>
    <row r="47" spans="2:6">
      <c r="B47" s="393" t="s">
        <v>242</v>
      </c>
      <c r="C47">
        <v>0.72261904761904761</v>
      </c>
      <c r="D47">
        <v>0.9</v>
      </c>
      <c r="E47">
        <v>0.72261904761904761</v>
      </c>
      <c r="F47">
        <v>0.9</v>
      </c>
    </row>
    <row r="56" spans="2:6">
      <c r="C56" s="390" t="s">
        <v>243</v>
      </c>
    </row>
    <row r="57" spans="2:6">
      <c r="C57" t="s">
        <v>160</v>
      </c>
      <c r="E57" t="s">
        <v>272</v>
      </c>
      <c r="F57" t="s">
        <v>273</v>
      </c>
    </row>
    <row r="58" spans="2:6">
      <c r="B58" s="390" t="s">
        <v>237</v>
      </c>
      <c r="C58" t="s">
        <v>274</v>
      </c>
      <c r="D58" t="s">
        <v>275</v>
      </c>
    </row>
    <row r="59" spans="2:6">
      <c r="B59" s="393">
        <v>44287</v>
      </c>
      <c r="C59">
        <v>0.26747720364741639</v>
      </c>
      <c r="D59">
        <v>0.8</v>
      </c>
      <c r="E59">
        <v>0.26747720364741639</v>
      </c>
      <c r="F59">
        <v>0.8</v>
      </c>
    </row>
    <row r="60" spans="2:6">
      <c r="B60" s="393">
        <v>44317</v>
      </c>
      <c r="C60">
        <v>0.29938271604938271</v>
      </c>
      <c r="D60">
        <v>0.8</v>
      </c>
      <c r="E60">
        <v>0.29938271604938271</v>
      </c>
      <c r="F60">
        <v>0.8</v>
      </c>
    </row>
    <row r="61" spans="2:6">
      <c r="B61" s="393">
        <v>44348</v>
      </c>
      <c r="C61">
        <v>0.3503184713375796</v>
      </c>
      <c r="D61">
        <v>0.8</v>
      </c>
      <c r="E61">
        <v>0.3503184713375796</v>
      </c>
      <c r="F61">
        <v>0.8</v>
      </c>
    </row>
    <row r="62" spans="2:6">
      <c r="B62" s="393">
        <v>44378</v>
      </c>
      <c r="C62">
        <v>0.41904761904761906</v>
      </c>
      <c r="D62">
        <v>0.8</v>
      </c>
      <c r="E62">
        <v>0.41904761904761906</v>
      </c>
      <c r="F62">
        <v>0.8</v>
      </c>
    </row>
    <row r="63" spans="2:6">
      <c r="B63" s="393">
        <v>44409</v>
      </c>
      <c r="C63">
        <v>0.569620253164557</v>
      </c>
      <c r="D63">
        <v>0.8</v>
      </c>
      <c r="E63">
        <v>0.569620253164557</v>
      </c>
      <c r="F63">
        <v>0.8</v>
      </c>
    </row>
    <row r="64" spans="2:6">
      <c r="B64" s="393">
        <v>44440</v>
      </c>
      <c r="C64">
        <v>0.63522012578616349</v>
      </c>
      <c r="D64">
        <v>0.8</v>
      </c>
      <c r="E64">
        <v>0.63522012578616349</v>
      </c>
      <c r="F64">
        <v>0.8</v>
      </c>
    </row>
    <row r="65" spans="2:6">
      <c r="B65" s="393">
        <v>44470</v>
      </c>
      <c r="C65">
        <v>0.69206349206349205</v>
      </c>
      <c r="D65">
        <v>0.8</v>
      </c>
      <c r="E65">
        <v>0.69206349206349205</v>
      </c>
      <c r="F65">
        <v>0.8</v>
      </c>
    </row>
    <row r="66" spans="2:6">
      <c r="B66" s="393">
        <v>44501</v>
      </c>
      <c r="C66">
        <v>0.72585669781931461</v>
      </c>
      <c r="D66">
        <v>0.8</v>
      </c>
      <c r="E66">
        <v>0.72585669781931461</v>
      </c>
      <c r="F66">
        <v>0.8</v>
      </c>
    </row>
    <row r="67" spans="2:6">
      <c r="B67" s="393">
        <v>44531</v>
      </c>
      <c r="C67">
        <v>0.78153846153846152</v>
      </c>
      <c r="D67">
        <v>0.8</v>
      </c>
      <c r="E67">
        <v>0.78153846153846152</v>
      </c>
      <c r="F67">
        <v>0.8</v>
      </c>
    </row>
    <row r="68" spans="2:6">
      <c r="B68" s="393">
        <v>44562</v>
      </c>
      <c r="C68">
        <v>0.82831325301204817</v>
      </c>
      <c r="D68">
        <v>0.8</v>
      </c>
      <c r="E68">
        <v>0.82831325301204817</v>
      </c>
      <c r="F68">
        <v>0.8</v>
      </c>
    </row>
    <row r="69" spans="2:6">
      <c r="B69" s="393">
        <v>44593</v>
      </c>
      <c r="C69">
        <v>0.84036144578313254</v>
      </c>
      <c r="D69">
        <v>0.8</v>
      </c>
      <c r="E69">
        <v>0.84036144578313254</v>
      </c>
      <c r="F69">
        <v>0.8</v>
      </c>
    </row>
    <row r="70" spans="2:6">
      <c r="B70" s="393">
        <v>44621</v>
      </c>
      <c r="C70">
        <v>0.85410334346504557</v>
      </c>
      <c r="D70">
        <v>0.8</v>
      </c>
      <c r="E70">
        <v>0.85410334346504557</v>
      </c>
      <c r="F70">
        <v>0.8</v>
      </c>
    </row>
    <row r="71" spans="2:6">
      <c r="B71" s="393">
        <v>44652</v>
      </c>
      <c r="C71">
        <v>0.84848484848484851</v>
      </c>
      <c r="D71">
        <v>0.8</v>
      </c>
      <c r="E71">
        <v>0.84848484848484851</v>
      </c>
      <c r="F71">
        <v>0.8</v>
      </c>
    </row>
    <row r="72" spans="2:6">
      <c r="B72" s="393" t="s">
        <v>242</v>
      </c>
      <c r="C72">
        <v>0.62595238095238093</v>
      </c>
      <c r="D72">
        <v>0.8</v>
      </c>
      <c r="E72">
        <v>0.62595238095238093</v>
      </c>
      <c r="F72">
        <v>0.8</v>
      </c>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9C9C3E-61B0-44FD-99F6-15B1AA816C57}">
  <dimension ref="B3:F52"/>
  <sheetViews>
    <sheetView topLeftCell="A16" workbookViewId="0">
      <selection activeCell="C45" sqref="C45"/>
    </sheetView>
  </sheetViews>
  <sheetFormatPr defaultRowHeight="15"/>
  <cols>
    <col min="2" max="2" width="13.140625" bestFit="1" customWidth="1"/>
    <col min="3" max="3" width="28" bestFit="1" customWidth="1"/>
    <col min="4" max="4" width="10.5703125" bestFit="1" customWidth="1"/>
    <col min="5" max="5" width="19.85546875" bestFit="1" customWidth="1"/>
    <col min="6" max="6" width="15.5703125" bestFit="1" customWidth="1"/>
    <col min="7" max="8" width="16.140625" bestFit="1" customWidth="1"/>
    <col min="9" max="9" width="28.7109375" bestFit="1" customWidth="1"/>
    <col min="10" max="10" width="11.140625" bestFit="1" customWidth="1"/>
    <col min="11" max="11" width="25.140625" bestFit="1" customWidth="1"/>
    <col min="12" max="12" width="11.140625" bestFit="1" customWidth="1"/>
    <col min="13" max="13" width="23.28515625" bestFit="1" customWidth="1"/>
    <col min="14" max="14" width="11.140625" bestFit="1" customWidth="1"/>
    <col min="15" max="15" width="24.7109375" bestFit="1" customWidth="1"/>
    <col min="16" max="16" width="11.140625" bestFit="1" customWidth="1"/>
    <col min="17" max="17" width="22" bestFit="1" customWidth="1"/>
    <col min="18" max="18" width="11.140625" bestFit="1" customWidth="1"/>
    <col min="19" max="19" width="22" bestFit="1" customWidth="1"/>
    <col min="20" max="20" width="11.140625" bestFit="1" customWidth="1"/>
    <col min="21" max="21" width="22" bestFit="1" customWidth="1"/>
    <col min="22" max="22" width="11.140625" bestFit="1" customWidth="1"/>
    <col min="23" max="23" width="26.5703125" bestFit="1" customWidth="1"/>
    <col min="24" max="24" width="11.140625" bestFit="1" customWidth="1"/>
    <col min="25" max="25" width="25.5703125" bestFit="1" customWidth="1"/>
    <col min="26" max="26" width="11.140625" bestFit="1" customWidth="1"/>
    <col min="27" max="27" width="22" bestFit="1" customWidth="1"/>
    <col min="28" max="28" width="11.140625" bestFit="1" customWidth="1"/>
    <col min="29" max="29" width="23.5703125" bestFit="1" customWidth="1"/>
    <col min="30" max="30" width="11.140625" bestFit="1" customWidth="1"/>
    <col min="31" max="31" width="26.28515625" bestFit="1" customWidth="1"/>
    <col min="32" max="32" width="11.140625" bestFit="1" customWidth="1"/>
    <col min="33" max="33" width="22" bestFit="1" customWidth="1"/>
    <col min="34" max="34" width="11.140625" bestFit="1" customWidth="1"/>
    <col min="35" max="35" width="25.7109375" bestFit="1" customWidth="1"/>
    <col min="36" max="36" width="11.140625" bestFit="1" customWidth="1"/>
    <col min="37" max="37" width="26.28515625" bestFit="1" customWidth="1"/>
    <col min="38" max="38" width="11.140625" bestFit="1" customWidth="1"/>
    <col min="39" max="39" width="22" bestFit="1" customWidth="1"/>
    <col min="40" max="40" width="11.140625" bestFit="1" customWidth="1"/>
    <col min="41" max="41" width="23.140625" bestFit="1" customWidth="1"/>
    <col min="42" max="42" width="11.140625" bestFit="1" customWidth="1"/>
    <col min="43" max="43" width="29.85546875" bestFit="1" customWidth="1"/>
    <col min="44" max="44" width="11.140625" bestFit="1" customWidth="1"/>
    <col min="45" max="45" width="32.42578125" bestFit="1" customWidth="1"/>
    <col min="46" max="46" width="11.140625" bestFit="1" customWidth="1"/>
    <col min="47" max="47" width="22" bestFit="1" customWidth="1"/>
    <col min="48" max="48" width="11.140625" bestFit="1" customWidth="1"/>
    <col min="49" max="49" width="40.7109375" bestFit="1" customWidth="1"/>
    <col min="50" max="50" width="11.140625" bestFit="1" customWidth="1"/>
    <col min="51" max="51" width="22" bestFit="1" customWidth="1"/>
    <col min="52" max="52" width="11.140625" bestFit="1" customWidth="1"/>
    <col min="53" max="53" width="27.28515625" bestFit="1" customWidth="1"/>
    <col min="54" max="54" width="11.140625" bestFit="1" customWidth="1"/>
    <col min="55" max="55" width="23.28515625" bestFit="1" customWidth="1"/>
    <col min="56" max="56" width="11.140625" bestFit="1" customWidth="1"/>
    <col min="57" max="57" width="22" bestFit="1" customWidth="1"/>
    <col min="58" max="58" width="11.140625" bestFit="1" customWidth="1"/>
    <col min="59" max="59" width="27.28515625" bestFit="1" customWidth="1"/>
    <col min="60" max="60" width="11.140625" bestFit="1" customWidth="1"/>
    <col min="61" max="61" width="24.42578125" bestFit="1" customWidth="1"/>
    <col min="62" max="62" width="11.140625" bestFit="1" customWidth="1"/>
    <col min="63" max="63" width="22" bestFit="1" customWidth="1"/>
    <col min="64" max="64" width="11.140625" bestFit="1" customWidth="1"/>
    <col min="65" max="65" width="24.28515625" bestFit="1" customWidth="1"/>
    <col min="66" max="66" width="11.140625" bestFit="1" customWidth="1"/>
    <col min="67" max="67" width="23.5703125" bestFit="1" customWidth="1"/>
    <col min="68" max="68" width="11.140625" bestFit="1" customWidth="1"/>
    <col min="69" max="69" width="36.28515625" bestFit="1" customWidth="1"/>
    <col min="70" max="70" width="11.140625" bestFit="1" customWidth="1"/>
    <col min="71" max="71" width="22" bestFit="1" customWidth="1"/>
    <col min="72" max="72" width="11.140625" bestFit="1" customWidth="1"/>
    <col min="73" max="73" width="22" bestFit="1" customWidth="1"/>
    <col min="74" max="74" width="11.140625" bestFit="1" customWidth="1"/>
    <col min="75" max="75" width="22" bestFit="1" customWidth="1"/>
    <col min="76" max="76" width="11.140625" bestFit="1" customWidth="1"/>
    <col min="77" max="77" width="22" bestFit="1" customWidth="1"/>
    <col min="78" max="78" width="11.140625" bestFit="1" customWidth="1"/>
    <col min="79" max="79" width="52.7109375" bestFit="1" customWidth="1"/>
    <col min="80" max="80" width="11.140625" bestFit="1" customWidth="1"/>
    <col min="81" max="81" width="27" bestFit="1" customWidth="1"/>
    <col min="82" max="82" width="16.140625" bestFit="1" customWidth="1"/>
  </cols>
  <sheetData>
    <row r="3" spans="2:6">
      <c r="C3" s="390" t="s">
        <v>243</v>
      </c>
    </row>
    <row r="4" spans="2:6">
      <c r="C4" t="s">
        <v>160</v>
      </c>
      <c r="E4" t="s">
        <v>276</v>
      </c>
      <c r="F4" t="s">
        <v>277</v>
      </c>
    </row>
    <row r="5" spans="2:6">
      <c r="B5" s="390" t="s">
        <v>237</v>
      </c>
      <c r="C5" t="s">
        <v>278</v>
      </c>
      <c r="D5" t="s">
        <v>233</v>
      </c>
    </row>
    <row r="6" spans="2:6">
      <c r="B6" s="393">
        <v>44287</v>
      </c>
      <c r="C6">
        <v>0.32037533512064342</v>
      </c>
      <c r="D6">
        <v>0.5</v>
      </c>
      <c r="E6">
        <v>0.32037533512064342</v>
      </c>
      <c r="F6">
        <v>0.5</v>
      </c>
    </row>
    <row r="7" spans="2:6">
      <c r="B7" s="393">
        <v>44317</v>
      </c>
      <c r="C7">
        <v>0.32210242587601079</v>
      </c>
      <c r="D7">
        <v>0.5</v>
      </c>
      <c r="E7">
        <v>0.32210242587601079</v>
      </c>
      <c r="F7">
        <v>0.5</v>
      </c>
    </row>
    <row r="8" spans="2:6">
      <c r="B8" s="393">
        <v>44348</v>
      </c>
      <c r="C8">
        <v>0.33109919571045576</v>
      </c>
      <c r="D8">
        <v>0.5</v>
      </c>
      <c r="E8">
        <v>0.33109919571045576</v>
      </c>
      <c r="F8">
        <v>0.5</v>
      </c>
    </row>
    <row r="9" spans="2:6">
      <c r="B9" s="393">
        <v>44378</v>
      </c>
      <c r="C9">
        <v>0.34404283801874164</v>
      </c>
      <c r="D9">
        <v>0.5</v>
      </c>
      <c r="E9">
        <v>0.34404283801874164</v>
      </c>
      <c r="F9">
        <v>0.5</v>
      </c>
    </row>
    <row r="10" spans="2:6">
      <c r="B10" s="393">
        <v>44409</v>
      </c>
      <c r="C10">
        <v>0.37150466045272967</v>
      </c>
      <c r="D10">
        <v>0.5</v>
      </c>
      <c r="E10">
        <v>0.37150466045272967</v>
      </c>
      <c r="F10">
        <v>0.5</v>
      </c>
    </row>
    <row r="11" spans="2:6">
      <c r="B11" s="393">
        <v>44440</v>
      </c>
      <c r="C11">
        <v>0.37830687830687831</v>
      </c>
      <c r="D11">
        <v>0.5</v>
      </c>
      <c r="E11">
        <v>0.37830687830687831</v>
      </c>
      <c r="F11">
        <v>0.5</v>
      </c>
    </row>
    <row r="12" spans="2:6">
      <c r="B12" s="393">
        <v>44470</v>
      </c>
      <c r="C12">
        <v>0.37051792828685259</v>
      </c>
      <c r="D12">
        <v>0.5</v>
      </c>
      <c r="E12">
        <v>0.37051792828685259</v>
      </c>
      <c r="F12">
        <v>0.5</v>
      </c>
    </row>
    <row r="13" spans="2:6">
      <c r="B13" s="393">
        <v>44501</v>
      </c>
      <c r="C13">
        <v>0.39600000000000002</v>
      </c>
      <c r="D13">
        <v>0.5</v>
      </c>
      <c r="E13">
        <v>0.39600000000000002</v>
      </c>
      <c r="F13">
        <v>0.5</v>
      </c>
    </row>
    <row r="14" spans="2:6">
      <c r="B14" s="393">
        <v>44531</v>
      </c>
      <c r="C14">
        <v>0.44400000000000001</v>
      </c>
      <c r="D14">
        <v>0.5</v>
      </c>
      <c r="E14">
        <v>0.44400000000000001</v>
      </c>
      <c r="F14">
        <v>0.5</v>
      </c>
    </row>
    <row r="15" spans="2:6">
      <c r="B15" s="393">
        <v>44562</v>
      </c>
      <c r="C15">
        <v>0.44090305444887118</v>
      </c>
      <c r="D15">
        <v>0.5</v>
      </c>
      <c r="E15">
        <v>0.44090305444887118</v>
      </c>
      <c r="F15">
        <v>0.5</v>
      </c>
    </row>
    <row r="16" spans="2:6">
      <c r="B16" s="393">
        <v>44593</v>
      </c>
      <c r="C16">
        <v>0.4631578947368421</v>
      </c>
      <c r="D16">
        <v>0.5</v>
      </c>
      <c r="E16">
        <v>0.4631578947368421</v>
      </c>
      <c r="F16">
        <v>0.5</v>
      </c>
    </row>
    <row r="17" spans="2:6">
      <c r="B17" s="393">
        <v>44621</v>
      </c>
      <c r="C17">
        <v>0.46850393700787402</v>
      </c>
      <c r="D17">
        <v>0.5</v>
      </c>
      <c r="E17">
        <v>0.46850393700787402</v>
      </c>
      <c r="F17">
        <v>0.5</v>
      </c>
    </row>
    <row r="18" spans="2:6">
      <c r="B18" s="393">
        <v>44652</v>
      </c>
      <c r="C18">
        <v>0.51178010471204194</v>
      </c>
      <c r="D18">
        <v>0.5</v>
      </c>
      <c r="E18">
        <v>0.51178010471204194</v>
      </c>
      <c r="F18">
        <v>0.5</v>
      </c>
    </row>
    <row r="19" spans="2:6">
      <c r="B19" s="393" t="s">
        <v>242</v>
      </c>
      <c r="C19">
        <v>0.39754601226993863</v>
      </c>
      <c r="D19">
        <v>0.5</v>
      </c>
      <c r="E19">
        <v>0.39754601226993863</v>
      </c>
      <c r="F19">
        <v>0.5</v>
      </c>
    </row>
    <row r="36" spans="2:6">
      <c r="C36" s="390" t="s">
        <v>243</v>
      </c>
    </row>
    <row r="37" spans="2:6">
      <c r="C37" t="s">
        <v>160</v>
      </c>
      <c r="E37" t="s">
        <v>279</v>
      </c>
      <c r="F37" t="s">
        <v>280</v>
      </c>
    </row>
    <row r="38" spans="2:6">
      <c r="B38" s="390" t="s">
        <v>237</v>
      </c>
      <c r="C38" t="s">
        <v>281</v>
      </c>
      <c r="D38" t="s">
        <v>282</v>
      </c>
    </row>
    <row r="39" spans="2:6">
      <c r="B39" s="393">
        <v>44287</v>
      </c>
      <c r="C39">
        <v>0.13609467455621302</v>
      </c>
      <c r="D39">
        <v>0.25</v>
      </c>
      <c r="E39">
        <v>0.13609467455621302</v>
      </c>
      <c r="F39">
        <v>0.25</v>
      </c>
    </row>
    <row r="40" spans="2:6">
      <c r="B40" s="393">
        <v>44317</v>
      </c>
      <c r="C40">
        <v>0.15308151093439365</v>
      </c>
      <c r="D40">
        <v>0.25</v>
      </c>
      <c r="E40">
        <v>0.15308151093439365</v>
      </c>
      <c r="F40">
        <v>0.25</v>
      </c>
    </row>
    <row r="41" spans="2:6">
      <c r="B41" s="393">
        <v>44348</v>
      </c>
      <c r="C41">
        <v>0.18637274549098196</v>
      </c>
      <c r="D41">
        <v>0.25</v>
      </c>
      <c r="E41">
        <v>0.18637274549098196</v>
      </c>
      <c r="F41">
        <v>0.25</v>
      </c>
    </row>
    <row r="42" spans="2:6">
      <c r="B42" s="393">
        <v>44378</v>
      </c>
      <c r="C42">
        <v>0.19387755102040816</v>
      </c>
      <c r="D42">
        <v>0.25</v>
      </c>
      <c r="E42">
        <v>0.19387755102040816</v>
      </c>
      <c r="F42">
        <v>0.25</v>
      </c>
    </row>
    <row r="43" spans="2:6">
      <c r="B43" s="393">
        <v>44409</v>
      </c>
      <c r="C43">
        <v>0.22033898305084745</v>
      </c>
      <c r="D43">
        <v>0.25</v>
      </c>
      <c r="E43">
        <v>0.22033898305084745</v>
      </c>
      <c r="F43">
        <v>0.25</v>
      </c>
    </row>
    <row r="44" spans="2:6">
      <c r="B44" s="393">
        <v>44440</v>
      </c>
      <c r="C44">
        <v>0.2404255319148936</v>
      </c>
      <c r="D44">
        <v>0.25</v>
      </c>
      <c r="E44">
        <v>0.2404255319148936</v>
      </c>
      <c r="F44">
        <v>0.25</v>
      </c>
    </row>
    <row r="45" spans="2:6">
      <c r="B45" s="393">
        <v>44470</v>
      </c>
      <c r="C45">
        <v>0.21729957805907174</v>
      </c>
      <c r="D45">
        <v>0.25</v>
      </c>
      <c r="E45">
        <v>0.21729957805907174</v>
      </c>
      <c r="F45">
        <v>0.25</v>
      </c>
    </row>
    <row r="46" spans="2:6">
      <c r="B46" s="393">
        <v>44501</v>
      </c>
      <c r="C46">
        <v>0.22958057395143489</v>
      </c>
      <c r="D46">
        <v>0.25</v>
      </c>
      <c r="E46">
        <v>0.22958057395143489</v>
      </c>
      <c r="F46">
        <v>0.25</v>
      </c>
    </row>
    <row r="47" spans="2:6">
      <c r="B47" s="393">
        <v>44531</v>
      </c>
      <c r="C47">
        <v>0.23980815347721823</v>
      </c>
      <c r="D47">
        <v>0.25</v>
      </c>
      <c r="E47">
        <v>0.23980815347721823</v>
      </c>
      <c r="F47">
        <v>0.25</v>
      </c>
    </row>
    <row r="48" spans="2:6">
      <c r="B48" s="393">
        <v>44562</v>
      </c>
      <c r="C48">
        <v>0.21140142517814728</v>
      </c>
      <c r="D48">
        <v>0.25</v>
      </c>
      <c r="E48">
        <v>0.21140142517814728</v>
      </c>
      <c r="F48">
        <v>0.25</v>
      </c>
    </row>
    <row r="49" spans="2:6">
      <c r="B49" s="393">
        <v>44593</v>
      </c>
      <c r="C49">
        <v>0.2107843137254902</v>
      </c>
      <c r="D49">
        <v>0.25</v>
      </c>
      <c r="E49">
        <v>0.2107843137254902</v>
      </c>
      <c r="F49">
        <v>0.25</v>
      </c>
    </row>
    <row r="50" spans="2:6">
      <c r="B50" s="393">
        <v>44621</v>
      </c>
      <c r="C50">
        <v>0.21234567901234569</v>
      </c>
      <c r="D50">
        <v>0.25</v>
      </c>
      <c r="E50">
        <v>0.21234567901234569</v>
      </c>
      <c r="F50">
        <v>0.25</v>
      </c>
    </row>
    <row r="51" spans="2:6">
      <c r="B51" s="393">
        <v>44652</v>
      </c>
      <c r="C51">
        <v>0.20911528150134048</v>
      </c>
      <c r="D51">
        <v>0.25</v>
      </c>
      <c r="E51">
        <v>0.20911528150134048</v>
      </c>
      <c r="F51">
        <v>0.25</v>
      </c>
    </row>
    <row r="52" spans="2:6">
      <c r="B52" s="393" t="s">
        <v>242</v>
      </c>
      <c r="C52">
        <v>0.20315682281059064</v>
      </c>
      <c r="D52">
        <v>0.25</v>
      </c>
      <c r="E52">
        <v>0.20315682281059064</v>
      </c>
      <c r="F52">
        <v>0.25</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AFE9A8-9AB6-4006-8306-BF3552F58CD0}">
  <dimension ref="B3:F19"/>
  <sheetViews>
    <sheetView workbookViewId="0">
      <selection activeCell="C13" sqref="C13"/>
    </sheetView>
  </sheetViews>
  <sheetFormatPr defaultRowHeight="15"/>
  <cols>
    <col min="2" max="2" width="13.140625" bestFit="1" customWidth="1"/>
    <col min="3" max="3" width="28" bestFit="1" customWidth="1"/>
    <col min="4" max="4" width="10.5703125" bestFit="1" customWidth="1"/>
    <col min="5" max="5" width="12" bestFit="1" customWidth="1"/>
    <col min="6" max="6" width="15.5703125" bestFit="1" customWidth="1"/>
    <col min="7" max="7" width="20" bestFit="1" customWidth="1"/>
    <col min="8" max="8" width="11.140625" bestFit="1" customWidth="1"/>
    <col min="9" max="9" width="28.7109375" bestFit="1" customWidth="1"/>
    <col min="10" max="10" width="11.140625" bestFit="1" customWidth="1"/>
    <col min="11" max="11" width="25.140625" bestFit="1" customWidth="1"/>
    <col min="12" max="12" width="11.140625" bestFit="1" customWidth="1"/>
    <col min="13" max="13" width="23.28515625" bestFit="1" customWidth="1"/>
    <col min="14" max="14" width="11.140625" bestFit="1" customWidth="1"/>
    <col min="15" max="15" width="24.7109375" bestFit="1" customWidth="1"/>
    <col min="16" max="16" width="11.140625" bestFit="1" customWidth="1"/>
    <col min="17" max="17" width="16.28515625" bestFit="1" customWidth="1"/>
    <col min="18" max="18" width="11.140625" bestFit="1" customWidth="1"/>
    <col min="19" max="19" width="17.42578125" bestFit="1" customWidth="1"/>
    <col min="20" max="20" width="11.140625" bestFit="1" customWidth="1"/>
    <col min="21" max="21" width="13.85546875" bestFit="1" customWidth="1"/>
    <col min="22" max="22" width="11.140625" bestFit="1" customWidth="1"/>
    <col min="23" max="23" width="26.5703125" bestFit="1" customWidth="1"/>
    <col min="24" max="24" width="11.140625" bestFit="1" customWidth="1"/>
    <col min="25" max="25" width="25.5703125" bestFit="1" customWidth="1"/>
    <col min="26" max="26" width="11.140625" bestFit="1" customWidth="1"/>
    <col min="27" max="27" width="13.7109375" bestFit="1" customWidth="1"/>
    <col min="28" max="28" width="11.140625" bestFit="1" customWidth="1"/>
    <col min="29" max="29" width="23.5703125" bestFit="1" customWidth="1"/>
    <col min="30" max="30" width="11.140625" bestFit="1" customWidth="1"/>
    <col min="31" max="31" width="26.28515625" bestFit="1" customWidth="1"/>
    <col min="32" max="32" width="11.140625" bestFit="1" customWidth="1"/>
    <col min="33" max="33" width="17.28515625" bestFit="1" customWidth="1"/>
    <col min="34" max="34" width="11.140625" bestFit="1" customWidth="1"/>
    <col min="35" max="35" width="25.7109375" bestFit="1" customWidth="1"/>
    <col min="36" max="36" width="11.140625" bestFit="1" customWidth="1"/>
    <col min="37" max="37" width="26.28515625" bestFit="1" customWidth="1"/>
    <col min="38" max="38" width="11.140625" bestFit="1" customWidth="1"/>
    <col min="39" max="39" width="21.85546875" bestFit="1" customWidth="1"/>
    <col min="40" max="40" width="11.140625" bestFit="1" customWidth="1"/>
    <col min="41" max="41" width="23.140625" bestFit="1" customWidth="1"/>
    <col min="42" max="42" width="11.140625" bestFit="1" customWidth="1"/>
    <col min="43" max="43" width="29.85546875" bestFit="1" customWidth="1"/>
    <col min="44" max="44" width="11.140625" bestFit="1" customWidth="1"/>
    <col min="45" max="45" width="32.42578125" bestFit="1" customWidth="1"/>
    <col min="46" max="46" width="11.140625" bestFit="1" customWidth="1"/>
    <col min="47" max="47" width="17" bestFit="1" customWidth="1"/>
    <col min="48" max="48" width="11.140625" bestFit="1" customWidth="1"/>
    <col min="49" max="49" width="40.7109375" bestFit="1" customWidth="1"/>
    <col min="50" max="50" width="11.140625" bestFit="1" customWidth="1"/>
    <col min="51" max="51" width="18.140625" bestFit="1" customWidth="1"/>
    <col min="52" max="52" width="11.140625" bestFit="1" customWidth="1"/>
    <col min="53" max="53" width="27.28515625" bestFit="1" customWidth="1"/>
    <col min="54" max="54" width="11.140625" bestFit="1" customWidth="1"/>
    <col min="55" max="55" width="23.28515625" bestFit="1" customWidth="1"/>
    <col min="56" max="56" width="11.140625" bestFit="1" customWidth="1"/>
    <col min="57" max="57" width="19" bestFit="1" customWidth="1"/>
    <col min="58" max="58" width="11.140625" bestFit="1" customWidth="1"/>
    <col min="59" max="59" width="27.28515625" bestFit="1" customWidth="1"/>
    <col min="60" max="60" width="11.140625" bestFit="1" customWidth="1"/>
    <col min="61" max="61" width="24.42578125" bestFit="1" customWidth="1"/>
    <col min="62" max="62" width="11.140625" bestFit="1" customWidth="1"/>
    <col min="63" max="63" width="17.85546875" bestFit="1" customWidth="1"/>
    <col min="64" max="64" width="11.140625" bestFit="1" customWidth="1"/>
    <col min="65" max="65" width="24.28515625" bestFit="1" customWidth="1"/>
    <col min="66" max="66" width="11.140625" bestFit="1" customWidth="1"/>
    <col min="67" max="67" width="23.5703125" bestFit="1" customWidth="1"/>
    <col min="68" max="68" width="11.140625" bestFit="1" customWidth="1"/>
    <col min="69" max="69" width="36.28515625" bestFit="1" customWidth="1"/>
    <col min="70" max="70" width="11.140625" bestFit="1" customWidth="1"/>
    <col min="71" max="71" width="20.85546875" bestFit="1" customWidth="1"/>
    <col min="72" max="72" width="11.140625" bestFit="1" customWidth="1"/>
    <col min="73" max="73" width="18.28515625" bestFit="1" customWidth="1"/>
    <col min="74" max="74" width="11.140625" bestFit="1" customWidth="1"/>
    <col min="75" max="75" width="16" bestFit="1" customWidth="1"/>
    <col min="76" max="76" width="11.140625" bestFit="1" customWidth="1"/>
    <col min="77" max="77" width="20.7109375" bestFit="1" customWidth="1"/>
    <col min="78" max="78" width="11.140625" bestFit="1" customWidth="1"/>
    <col min="79" max="79" width="52.7109375" bestFit="1" customWidth="1"/>
    <col min="80" max="80" width="11.140625" bestFit="1" customWidth="1"/>
    <col min="81" max="81" width="18.42578125" bestFit="1" customWidth="1"/>
    <col min="82" max="82" width="16.140625" bestFit="1" customWidth="1"/>
  </cols>
  <sheetData>
    <row r="3" spans="2:6">
      <c r="C3" s="390" t="s">
        <v>243</v>
      </c>
    </row>
    <row r="4" spans="2:6">
      <c r="C4" t="s">
        <v>160</v>
      </c>
      <c r="E4" t="s">
        <v>283</v>
      </c>
      <c r="F4" t="s">
        <v>284</v>
      </c>
    </row>
    <row r="5" spans="2:6">
      <c r="B5" s="390" t="s">
        <v>237</v>
      </c>
      <c r="C5" t="s">
        <v>285</v>
      </c>
      <c r="D5" t="s">
        <v>286</v>
      </c>
    </row>
    <row r="6" spans="2:6">
      <c r="B6" s="393">
        <v>44287</v>
      </c>
      <c r="C6">
        <v>0.58620689655172409</v>
      </c>
      <c r="D6">
        <v>0.49</v>
      </c>
      <c r="E6">
        <v>0.58620689655172409</v>
      </c>
      <c r="F6">
        <v>0.49</v>
      </c>
    </row>
    <row r="7" spans="2:6">
      <c r="B7" s="393">
        <v>44317</v>
      </c>
      <c r="C7">
        <v>0.58620689655172409</v>
      </c>
      <c r="D7">
        <v>0.49</v>
      </c>
      <c r="E7">
        <v>0.58620689655172409</v>
      </c>
      <c r="F7">
        <v>0.49</v>
      </c>
    </row>
    <row r="8" spans="2:6">
      <c r="B8" s="393">
        <v>44348</v>
      </c>
      <c r="C8">
        <v>0.57638888888888884</v>
      </c>
      <c r="D8">
        <v>0.49</v>
      </c>
      <c r="E8">
        <v>0.57638888888888884</v>
      </c>
      <c r="F8">
        <v>0.49</v>
      </c>
    </row>
    <row r="9" spans="2:6">
      <c r="B9" s="393">
        <v>44378</v>
      </c>
      <c r="C9">
        <v>0.58041958041958042</v>
      </c>
      <c r="D9">
        <v>0.49</v>
      </c>
      <c r="E9">
        <v>0.58041958041958042</v>
      </c>
      <c r="F9">
        <v>0.49</v>
      </c>
    </row>
    <row r="10" spans="2:6">
      <c r="B10" s="393">
        <v>44409</v>
      </c>
      <c r="C10">
        <v>0.57342657342657344</v>
      </c>
      <c r="D10">
        <v>0.49</v>
      </c>
      <c r="E10">
        <v>0.57342657342657344</v>
      </c>
      <c r="F10">
        <v>0.49</v>
      </c>
    </row>
    <row r="11" spans="2:6">
      <c r="B11" s="393">
        <v>44440</v>
      </c>
      <c r="C11">
        <v>0.57241379310344831</v>
      </c>
      <c r="D11">
        <v>0.49</v>
      </c>
      <c r="E11">
        <v>0.57241379310344831</v>
      </c>
      <c r="F11">
        <v>0.49</v>
      </c>
    </row>
    <row r="12" spans="2:6">
      <c r="B12" s="393">
        <v>44470</v>
      </c>
      <c r="C12">
        <v>0.56849315068493156</v>
      </c>
      <c r="D12">
        <v>0.49</v>
      </c>
      <c r="E12">
        <v>0.56849315068493156</v>
      </c>
      <c r="F12">
        <v>0.49</v>
      </c>
    </row>
    <row r="13" spans="2:6">
      <c r="B13" s="393">
        <v>44501</v>
      </c>
      <c r="C13">
        <v>0.55033557046979864</v>
      </c>
      <c r="D13">
        <v>0.49</v>
      </c>
      <c r="E13">
        <v>0.55033557046979864</v>
      </c>
      <c r="F13">
        <v>0.49</v>
      </c>
    </row>
    <row r="14" spans="2:6">
      <c r="B14" s="393">
        <v>44531</v>
      </c>
      <c r="C14">
        <v>0.56375838926174493</v>
      </c>
      <c r="D14">
        <v>0.49</v>
      </c>
      <c r="E14">
        <v>0.56375838926174493</v>
      </c>
      <c r="F14">
        <v>0.49</v>
      </c>
    </row>
    <row r="15" spans="2:6">
      <c r="B15" s="393">
        <v>44562</v>
      </c>
      <c r="C15">
        <v>0.56756756756756754</v>
      </c>
      <c r="D15">
        <v>0.49</v>
      </c>
      <c r="E15">
        <v>0.56756756756756754</v>
      </c>
      <c r="F15">
        <v>0.49</v>
      </c>
    </row>
    <row r="16" spans="2:6">
      <c r="B16" s="393">
        <v>44593</v>
      </c>
      <c r="C16">
        <v>0.57333333333333336</v>
      </c>
      <c r="D16">
        <v>0.49</v>
      </c>
      <c r="E16">
        <v>0.57333333333333336</v>
      </c>
      <c r="F16">
        <v>0.49</v>
      </c>
    </row>
    <row r="17" spans="2:6">
      <c r="B17" s="393">
        <v>44621</v>
      </c>
      <c r="C17">
        <v>0.57718120805369133</v>
      </c>
      <c r="D17">
        <v>0.49</v>
      </c>
      <c r="E17">
        <v>0.57718120805369133</v>
      </c>
      <c r="F17">
        <v>0.49</v>
      </c>
    </row>
    <row r="18" spans="2:6">
      <c r="B18" s="393">
        <v>44652</v>
      </c>
      <c r="C18">
        <v>0.57333333333333336</v>
      </c>
      <c r="D18">
        <v>0.49</v>
      </c>
      <c r="E18">
        <v>0.57333333333333336</v>
      </c>
      <c r="F18">
        <v>0.49</v>
      </c>
    </row>
    <row r="19" spans="2:6">
      <c r="B19" s="393" t="s">
        <v>242</v>
      </c>
      <c r="C19">
        <v>0.57292759706190977</v>
      </c>
      <c r="D19">
        <v>0.49</v>
      </c>
      <c r="E19">
        <v>0.57292759706190977</v>
      </c>
      <c r="F19">
        <v>0.49</v>
      </c>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D0D3A8-A8F2-49A9-86AA-5A233E0E862F}">
  <dimension ref="B3:F19"/>
  <sheetViews>
    <sheetView workbookViewId="0">
      <selection activeCell="K15" sqref="K15"/>
    </sheetView>
  </sheetViews>
  <sheetFormatPr defaultRowHeight="15"/>
  <cols>
    <col min="2" max="2" width="13.140625" bestFit="1" customWidth="1"/>
    <col min="3" max="3" width="28" bestFit="1" customWidth="1"/>
    <col min="4" max="4" width="10.5703125" bestFit="1" customWidth="1"/>
    <col min="5" max="5" width="17.42578125" bestFit="1" customWidth="1"/>
    <col min="6" max="6" width="15.5703125" bestFit="1" customWidth="1"/>
    <col min="7" max="7" width="20" bestFit="1" customWidth="1"/>
    <col min="8" max="8" width="11.140625" bestFit="1" customWidth="1"/>
    <col min="9" max="9" width="28.7109375" bestFit="1" customWidth="1"/>
    <col min="10" max="10" width="11.140625" bestFit="1" customWidth="1"/>
    <col min="11" max="11" width="25.140625" bestFit="1" customWidth="1"/>
    <col min="12" max="12" width="11.140625" bestFit="1" customWidth="1"/>
    <col min="13" max="13" width="23.28515625" bestFit="1" customWidth="1"/>
    <col min="14" max="14" width="11.140625" bestFit="1" customWidth="1"/>
    <col min="15" max="15" width="24.7109375" bestFit="1" customWidth="1"/>
    <col min="16" max="16" width="11.140625" bestFit="1" customWidth="1"/>
    <col min="17" max="17" width="16.28515625" bestFit="1" customWidth="1"/>
    <col min="18" max="18" width="11.140625" bestFit="1" customWidth="1"/>
    <col min="19" max="19" width="17.42578125" bestFit="1" customWidth="1"/>
    <col min="20" max="20" width="11.140625" bestFit="1" customWidth="1"/>
    <col min="21" max="21" width="13.85546875" bestFit="1" customWidth="1"/>
    <col min="22" max="22" width="11.140625" bestFit="1" customWidth="1"/>
    <col min="23" max="23" width="26.5703125" bestFit="1" customWidth="1"/>
    <col min="24" max="24" width="11.140625" bestFit="1" customWidth="1"/>
    <col min="25" max="25" width="25.5703125" bestFit="1" customWidth="1"/>
    <col min="26" max="26" width="11.140625" bestFit="1" customWidth="1"/>
    <col min="27" max="27" width="13.7109375" bestFit="1" customWidth="1"/>
    <col min="28" max="28" width="11.140625" bestFit="1" customWidth="1"/>
    <col min="29" max="29" width="23.5703125" bestFit="1" customWidth="1"/>
    <col min="30" max="30" width="11.140625" bestFit="1" customWidth="1"/>
    <col min="31" max="31" width="26.28515625" bestFit="1" customWidth="1"/>
    <col min="32" max="32" width="11.140625" bestFit="1" customWidth="1"/>
    <col min="33" max="33" width="17.28515625" bestFit="1" customWidth="1"/>
    <col min="34" max="34" width="11.140625" bestFit="1" customWidth="1"/>
    <col min="35" max="35" width="25.7109375" bestFit="1" customWidth="1"/>
    <col min="36" max="36" width="11.140625" bestFit="1" customWidth="1"/>
    <col min="37" max="37" width="26.28515625" bestFit="1" customWidth="1"/>
    <col min="38" max="38" width="11.140625" bestFit="1" customWidth="1"/>
    <col min="39" max="39" width="21.85546875" bestFit="1" customWidth="1"/>
    <col min="40" max="40" width="11.140625" bestFit="1" customWidth="1"/>
    <col min="41" max="41" width="23.140625" bestFit="1" customWidth="1"/>
    <col min="42" max="42" width="11.140625" bestFit="1" customWidth="1"/>
    <col min="43" max="43" width="29.85546875" bestFit="1" customWidth="1"/>
    <col min="44" max="44" width="11.140625" bestFit="1" customWidth="1"/>
    <col min="45" max="45" width="32.42578125" bestFit="1" customWidth="1"/>
    <col min="46" max="46" width="11.140625" bestFit="1" customWidth="1"/>
    <col min="47" max="47" width="17" bestFit="1" customWidth="1"/>
    <col min="48" max="48" width="11.140625" bestFit="1" customWidth="1"/>
    <col min="49" max="49" width="40.7109375" bestFit="1" customWidth="1"/>
    <col min="50" max="50" width="11.140625" bestFit="1" customWidth="1"/>
    <col min="51" max="51" width="18.140625" bestFit="1" customWidth="1"/>
    <col min="52" max="52" width="11.140625" bestFit="1" customWidth="1"/>
    <col min="53" max="53" width="27.28515625" bestFit="1" customWidth="1"/>
    <col min="54" max="54" width="11.140625" bestFit="1" customWidth="1"/>
    <col min="55" max="55" width="23.28515625" bestFit="1" customWidth="1"/>
    <col min="56" max="56" width="11.140625" bestFit="1" customWidth="1"/>
    <col min="57" max="57" width="19" bestFit="1" customWidth="1"/>
    <col min="58" max="58" width="11.140625" bestFit="1" customWidth="1"/>
    <col min="59" max="59" width="27.28515625" bestFit="1" customWidth="1"/>
    <col min="60" max="60" width="11.140625" bestFit="1" customWidth="1"/>
    <col min="61" max="61" width="24.42578125" bestFit="1" customWidth="1"/>
    <col min="62" max="62" width="11.140625" bestFit="1" customWidth="1"/>
    <col min="63" max="63" width="17.85546875" bestFit="1" customWidth="1"/>
    <col min="64" max="64" width="11.140625" bestFit="1" customWidth="1"/>
    <col min="65" max="65" width="24.28515625" bestFit="1" customWidth="1"/>
    <col min="66" max="66" width="11.140625" bestFit="1" customWidth="1"/>
    <col min="67" max="67" width="23.5703125" bestFit="1" customWidth="1"/>
    <col min="68" max="68" width="11.140625" bestFit="1" customWidth="1"/>
    <col min="69" max="69" width="36.28515625" bestFit="1" customWidth="1"/>
    <col min="70" max="70" width="11.140625" bestFit="1" customWidth="1"/>
    <col min="71" max="71" width="20.85546875" bestFit="1" customWidth="1"/>
    <col min="72" max="72" width="11.140625" bestFit="1" customWidth="1"/>
    <col min="73" max="73" width="18.28515625" bestFit="1" customWidth="1"/>
    <col min="74" max="74" width="11.140625" bestFit="1" customWidth="1"/>
    <col min="75" max="75" width="16" bestFit="1" customWidth="1"/>
    <col min="76" max="76" width="11.140625" bestFit="1" customWidth="1"/>
    <col min="77" max="77" width="20.7109375" bestFit="1" customWidth="1"/>
    <col min="78" max="78" width="11.140625" bestFit="1" customWidth="1"/>
    <col min="79" max="79" width="52.7109375" bestFit="1" customWidth="1"/>
    <col min="80" max="80" width="11.140625" bestFit="1" customWidth="1"/>
    <col min="81" max="81" width="17" bestFit="1" customWidth="1"/>
    <col min="82" max="82" width="16.140625" bestFit="1" customWidth="1"/>
  </cols>
  <sheetData>
    <row r="3" spans="2:6">
      <c r="C3" s="390" t="s">
        <v>243</v>
      </c>
    </row>
    <row r="4" spans="2:6">
      <c r="C4" t="s">
        <v>160</v>
      </c>
      <c r="E4" t="s">
        <v>287</v>
      </c>
      <c r="F4" t="s">
        <v>249</v>
      </c>
    </row>
    <row r="5" spans="2:6">
      <c r="B5" s="390" t="s">
        <v>237</v>
      </c>
      <c r="C5" t="s">
        <v>288</v>
      </c>
      <c r="D5" t="s">
        <v>251</v>
      </c>
    </row>
    <row r="6" spans="2:6">
      <c r="B6" s="393">
        <v>44287</v>
      </c>
      <c r="C6">
        <v>0.20895522388059701</v>
      </c>
      <c r="D6">
        <v>0.15</v>
      </c>
      <c r="E6">
        <v>0.20895522388059701</v>
      </c>
      <c r="F6">
        <v>0.15</v>
      </c>
    </row>
    <row r="7" spans="2:6">
      <c r="B7" s="393">
        <v>44317</v>
      </c>
      <c r="C7">
        <v>0.20149253731343283</v>
      </c>
      <c r="D7">
        <v>0.15</v>
      </c>
      <c r="E7">
        <v>0.20149253731343283</v>
      </c>
      <c r="F7">
        <v>0.15</v>
      </c>
    </row>
    <row r="8" spans="2:6">
      <c r="B8" s="393">
        <v>44348</v>
      </c>
      <c r="C8">
        <v>0.19852941176470587</v>
      </c>
      <c r="D8">
        <v>0.15</v>
      </c>
      <c r="E8">
        <v>0.19852941176470587</v>
      </c>
      <c r="F8">
        <v>0.15</v>
      </c>
    </row>
    <row r="9" spans="2:6">
      <c r="B9" s="393">
        <v>44378</v>
      </c>
      <c r="C9">
        <v>0.19259259259259259</v>
      </c>
      <c r="D9">
        <v>0.15</v>
      </c>
      <c r="E9">
        <v>0.19259259259259259</v>
      </c>
      <c r="F9">
        <v>0.15</v>
      </c>
    </row>
    <row r="10" spans="2:6">
      <c r="B10" s="393">
        <v>44409</v>
      </c>
      <c r="C10">
        <v>0.18518518518518517</v>
      </c>
      <c r="D10">
        <v>0.15</v>
      </c>
      <c r="E10">
        <v>0.18518518518518517</v>
      </c>
      <c r="F10">
        <v>0.15</v>
      </c>
    </row>
    <row r="11" spans="2:6">
      <c r="B11" s="393">
        <v>44440</v>
      </c>
      <c r="C11">
        <v>0.17777777777777778</v>
      </c>
      <c r="D11">
        <v>0.15</v>
      </c>
      <c r="E11">
        <v>0.17777777777777778</v>
      </c>
      <c r="F11">
        <v>0.15</v>
      </c>
    </row>
    <row r="12" spans="2:6">
      <c r="B12" s="393">
        <v>44470</v>
      </c>
      <c r="C12">
        <v>0.17647058823529413</v>
      </c>
      <c r="D12">
        <v>0.15</v>
      </c>
      <c r="E12">
        <v>0.17647058823529413</v>
      </c>
      <c r="F12">
        <v>0.15</v>
      </c>
    </row>
    <row r="13" spans="2:6">
      <c r="B13" s="393">
        <v>44501</v>
      </c>
      <c r="C13">
        <v>0.17647058823529413</v>
      </c>
      <c r="D13">
        <v>0.15</v>
      </c>
      <c r="E13">
        <v>0.17647058823529413</v>
      </c>
      <c r="F13">
        <v>0.15</v>
      </c>
    </row>
    <row r="14" spans="2:6">
      <c r="B14" s="393">
        <v>44531</v>
      </c>
      <c r="C14">
        <v>0.17777777777777778</v>
      </c>
      <c r="D14">
        <v>0.15</v>
      </c>
      <c r="E14">
        <v>0.17777777777777778</v>
      </c>
      <c r="F14">
        <v>0.15</v>
      </c>
    </row>
    <row r="15" spans="2:6">
      <c r="B15" s="393">
        <v>44562</v>
      </c>
      <c r="C15">
        <v>0.16428571428571428</v>
      </c>
      <c r="D15">
        <v>0.15</v>
      </c>
      <c r="E15">
        <v>0.16428571428571428</v>
      </c>
      <c r="F15">
        <v>0.15</v>
      </c>
    </row>
    <row r="16" spans="2:6">
      <c r="B16" s="393">
        <v>44593</v>
      </c>
      <c r="C16">
        <v>6.4285714285714279E-2</v>
      </c>
      <c r="D16">
        <v>0.15</v>
      </c>
      <c r="E16">
        <v>6.4285714285714279E-2</v>
      </c>
      <c r="F16">
        <v>0.15</v>
      </c>
    </row>
    <row r="17" spans="2:6">
      <c r="B17" s="393">
        <v>44621</v>
      </c>
      <c r="C17">
        <v>6.3380281690140844E-2</v>
      </c>
      <c r="D17">
        <v>0.15</v>
      </c>
      <c r="E17">
        <v>6.3380281690140844E-2</v>
      </c>
      <c r="F17">
        <v>0.15</v>
      </c>
    </row>
    <row r="18" spans="2:6">
      <c r="B18" s="393">
        <v>44652</v>
      </c>
      <c r="C18">
        <v>2.097902097902098E-2</v>
      </c>
      <c r="D18">
        <v>0.15</v>
      </c>
      <c r="E18">
        <v>2.097902097902098E-2</v>
      </c>
      <c r="F18">
        <v>0.15</v>
      </c>
    </row>
    <row r="19" spans="2:6">
      <c r="B19" s="393" t="s">
        <v>242</v>
      </c>
      <c r="C19">
        <v>0.15328467153284672</v>
      </c>
      <c r="D19">
        <v>0.15</v>
      </c>
      <c r="E19">
        <v>0.15328467153284672</v>
      </c>
      <c r="F19">
        <v>0.15</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 
</file>

<file path=customXml/item2.xml><?xml version="1.0" encoding="utf-8"?>
<?mso-contentType ?>
<SharedContentType xmlns="Microsoft.SharePoint.Taxonomy.ContentTypeSync" SourceId="9c18f9b8-5ae4-4f0b-a238-a922c51e2dda" ContentTypeId="0x0101005EA864BF41DF8A41860E925F5B29BCF5" PreviousValue="false"/>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TaxCatchAll xmlns="d5efd484-15aa-41a0-83f6-0646502cb6d6">
      <Value>1</Value>
    </TaxCatchAll>
    <QMULInformationClassificationTaxHTField0 xmlns="http://schemas.microsoft.com/sharepoint/v3">
      <Terms xmlns="http://schemas.microsoft.com/office/infopath/2007/PartnerControls">
        <TermInfo xmlns="http://schemas.microsoft.com/office/infopath/2007/PartnerControls">
          <TermName xmlns="http://schemas.microsoft.com/office/infopath/2007/PartnerControls">Protect</TermName>
          <TermId xmlns="http://schemas.microsoft.com/office/infopath/2007/PartnerControls">9124d8d9-0c1c-41e9-aa14-aba001e9a028</TermId>
        </TermInfo>
      </Terms>
    </QMULInformationClassificationTaxHTField0>
    <TaxKeywordTaxHTField xmlns="d5efd484-15aa-41a0-83f6-0646502cb6d6">
      <Terms xmlns="http://schemas.microsoft.com/office/infopath/2007/PartnerControls"/>
    </TaxKeywordTaxHTField>
    <QMULSchoolTaxHTField0 xmlns="http://schemas.microsoft.com/sharepoint/v3">
      <Terms xmlns="http://schemas.microsoft.com/office/infopath/2007/PartnerControls"/>
    </QMULSchoolTaxHTField0>
    <QMULDocumentTypeTaxHTField0 xmlns="http://schemas.microsoft.com/sharepoint/v3">
      <Terms xmlns="http://schemas.microsoft.com/office/infopath/2007/PartnerControls"/>
    </QMULDocumentTypeTaxHTField0>
    <QMULReviewDate xmlns="http://schemas.microsoft.com/sharepoint/v3" xsi:nil="true"/>
    <QMULOwner xmlns="http://schemas.microsoft.com/sharepoint/v3">
      <UserInfo>
        <DisplayName/>
        <AccountId xsi:nil="true"/>
        <AccountType/>
      </UserInfo>
    </QMULOwner>
    <QMULDepartmentTaxHTField0 xmlns="http://schemas.microsoft.com/sharepoint/v3">
      <Terms xmlns="http://schemas.microsoft.com/office/infopath/2007/PartnerControls"/>
    </QMULDepartmentTaxHTField0>
    <QMULAcademicYear xmlns="http://schemas.microsoft.com/sharepoint/v3" xsi:nil="true"/>
    <QMULLocationTaxHTField0 xmlns="http://schemas.microsoft.com/sharepoint/v3">
      <Terms xmlns="http://schemas.microsoft.com/office/infopath/2007/PartnerControls"/>
    </QMULLocationTaxHTField0>
    <QMULDocumentStatusTaxHTField0 xmlns="http://schemas.microsoft.com/sharepoint/v3">
      <Terms xmlns="http://schemas.microsoft.com/office/infopath/2007/PartnerControls"/>
    </QMULDocumentStatusTaxHTField0>
    <QMULProject xmlns="http://schemas.microsoft.com/sharepoint/v3" xsi:nil="true"/>
  </documentManagement>
</p:properties>
</file>

<file path=customXml/item5.xml><?xml version="1.0" encoding="utf-8"?>
<ct:contentTypeSchema xmlns:ct="http://schemas.microsoft.com/office/2006/metadata/contentType" xmlns:ma="http://schemas.microsoft.com/office/2006/metadata/properties/metaAttributes" ct:_="" ma:_="" ma:contentTypeName="QMUL Document" ma:contentTypeID="0x0101005EA864BF41DF8A41860E925F5B29BCF500F553BF34473073438DF49462F72B571E" ma:contentTypeVersion="29" ma:contentTypeDescription="" ma:contentTypeScope="" ma:versionID="dae64be7dbe978c25200ba8eefe331b3">
  <xsd:schema xmlns:xsd="http://www.w3.org/2001/XMLSchema" xmlns:xs="http://www.w3.org/2001/XMLSchema" xmlns:p="http://schemas.microsoft.com/office/2006/metadata/properties" xmlns:ns1="http://schemas.microsoft.com/sharepoint/v3" xmlns:ns2="d5efd484-15aa-41a0-83f6-0646502cb6d6" xmlns:ns3="f995a362-f1ea-4f36-a838-e742602ff8dc" xmlns:ns4="97028615-ed06-4374-97e7-2451ae5b7b94" targetNamespace="http://schemas.microsoft.com/office/2006/metadata/properties" ma:root="true" ma:fieldsID="5391e764273d9f8e1121cc67f54bbb77" ns1:_="" ns2:_="" ns3:_="" ns4:_="">
    <xsd:import namespace="http://schemas.microsoft.com/sharepoint/v3"/>
    <xsd:import namespace="d5efd484-15aa-41a0-83f6-0646502cb6d6"/>
    <xsd:import namespace="f995a362-f1ea-4f36-a838-e742602ff8dc"/>
    <xsd:import namespace="97028615-ed06-4374-97e7-2451ae5b7b94"/>
    <xsd:element name="properties">
      <xsd:complexType>
        <xsd:sequence>
          <xsd:element name="documentManagement">
            <xsd:complexType>
              <xsd:all>
                <xsd:element ref="ns1:QMULDocumentStatusTaxHTField0" minOccurs="0"/>
                <xsd:element ref="ns1:QMULDepartmentTaxHTField0" minOccurs="0"/>
                <xsd:element ref="ns1:QMULSchoolTaxHTField0" minOccurs="0"/>
                <xsd:element ref="ns1:QMULDocumentTypeTaxHTField0" minOccurs="0"/>
                <xsd:element ref="ns1:QMULLocationTaxHTField0" minOccurs="0"/>
                <xsd:element ref="ns1:QMULInformationClassificationTaxHTField0" minOccurs="0"/>
                <xsd:element ref="ns1:QMULAcademicYear" minOccurs="0"/>
                <xsd:element ref="ns1:QMULProject" minOccurs="0"/>
                <xsd:element ref="ns1:QMULReviewDate" minOccurs="0"/>
                <xsd:element ref="ns1:QMULOwner" minOccurs="0"/>
                <xsd:element ref="ns2:TaxKeywordTaxHTField" minOccurs="0"/>
                <xsd:element ref="ns2:TaxCatchAll" minOccurs="0"/>
                <xsd:element ref="ns2:TaxCatchAllLabel" minOccurs="0"/>
                <xsd:element ref="ns3:MediaServiceMetadata" minOccurs="0"/>
                <xsd:element ref="ns3:MediaServiceFastMetadata" minOccurs="0"/>
                <xsd:element ref="ns4:SharedWithUsers" minOccurs="0"/>
                <xsd:element ref="ns4:SharedWithDetails"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QMULDocumentStatusTaxHTField0" ma:index="8" nillable="true" ma:taxonomy="true" ma:internalName="QMULDocumentStatusTaxHTField0" ma:taxonomyFieldName="QMULDocumentStatus" ma:displayName="Document Status" ma:default="" ma:fieldId="{083bdfb7-9f4e-4bc9-b582-62ed6b950f9e}" ma:sspId="9c18f9b8-5ae4-4f0b-a238-a922c51e2dda" ma:termSetId="780aba48-6c17-4ca0-84b9-f0207a095630" ma:anchorId="00000000-0000-0000-0000-000000000000" ma:open="false" ma:isKeyword="false">
      <xsd:complexType>
        <xsd:sequence>
          <xsd:element ref="pc:Terms" minOccurs="0" maxOccurs="1"/>
        </xsd:sequence>
      </xsd:complexType>
    </xsd:element>
    <xsd:element name="QMULDepartmentTaxHTField0" ma:index="10" nillable="true" ma:taxonomy="true" ma:internalName="QMULDepartmentTaxHTField0" ma:taxonomyFieldName="QMULDepartment" ma:displayName="Department" ma:readOnly="false" ma:default="" ma:fieldId="{2a7d89f9-5f8e-4c42-ab4f-aa1fc3002ea0}" ma:sspId="9c18f9b8-5ae4-4f0b-a238-a922c51e2dda" ma:termSetId="28874c57-2df5-45e8-a804-d15afc96d4ee" ma:anchorId="00000000-0000-0000-0000-000000000000" ma:open="false" ma:isKeyword="false">
      <xsd:complexType>
        <xsd:sequence>
          <xsd:element ref="pc:Terms" minOccurs="0" maxOccurs="1"/>
        </xsd:sequence>
      </xsd:complexType>
    </xsd:element>
    <xsd:element name="QMULSchoolTaxHTField0" ma:index="12" nillable="true" ma:taxonomy="true" ma:internalName="QMULSchoolTaxHTField0" ma:taxonomyFieldName="QMULSchool" ma:displayName="School" ma:readOnly="false" ma:default="" ma:fieldId="{46346f8e-3161-4021-8b14-3dcca2e3ca8d}" ma:sspId="9c18f9b8-5ae4-4f0b-a238-a922c51e2dda" ma:termSetId="0f9f7e9f-7d6b-4cae-9193-a3e3200f87de" ma:anchorId="00000000-0000-0000-0000-000000000000" ma:open="false" ma:isKeyword="false">
      <xsd:complexType>
        <xsd:sequence>
          <xsd:element ref="pc:Terms" minOccurs="0" maxOccurs="1"/>
        </xsd:sequence>
      </xsd:complexType>
    </xsd:element>
    <xsd:element name="QMULDocumentTypeTaxHTField0" ma:index="14" nillable="true" ma:taxonomy="true" ma:internalName="QMULDocumentTypeTaxHTField0" ma:taxonomyFieldName="QMULDocumentType" ma:displayName="Document Type" ma:default="" ma:fieldId="{2596c3af-0d77-4ea4-a15d-d3f71457b096}" ma:sspId="9c18f9b8-5ae4-4f0b-a238-a922c51e2dda" ma:termSetId="8ec3f1bd-c4f8-46a7-ae88-878ed3be39d1" ma:anchorId="00000000-0000-0000-0000-000000000000" ma:open="false" ma:isKeyword="false">
      <xsd:complexType>
        <xsd:sequence>
          <xsd:element ref="pc:Terms" minOccurs="0" maxOccurs="1"/>
        </xsd:sequence>
      </xsd:complexType>
    </xsd:element>
    <xsd:element name="QMULLocationTaxHTField0" ma:index="16" nillable="true" ma:taxonomy="true" ma:internalName="QMULLocationTaxHTField0" ma:taxonomyFieldName="QMULLocation" ma:displayName="Location" ma:default="" ma:fieldId="{29b985f4-a05e-4f39-b5da-e9fb81ddaa79}" ma:sspId="9c18f9b8-5ae4-4f0b-a238-a922c51e2dda" ma:termSetId="5327f1c4-618f-4317-b197-fc29da39fa66" ma:anchorId="00000000-0000-0000-0000-000000000000" ma:open="false" ma:isKeyword="false">
      <xsd:complexType>
        <xsd:sequence>
          <xsd:element ref="pc:Terms" minOccurs="0" maxOccurs="1"/>
        </xsd:sequence>
      </xsd:complexType>
    </xsd:element>
    <xsd:element name="QMULInformationClassificationTaxHTField0" ma:index="18" nillable="true" ma:taxonomy="true" ma:internalName="QMULInformationClassificationTaxHTField0" ma:taxonomyFieldName="QMULInformationClassification" ma:displayName="Information Classification" ma:default="1;#Protect|9124d8d9-0c1c-41e9-aa14-aba001e9a028" ma:fieldId="{57b3469a-2ea1-4a06-a2d1-c99ce62a5d6f}" ma:sspId="9c18f9b8-5ae4-4f0b-a238-a922c51e2dda" ma:termSetId="a3d7b326-4e5e-4e73-95fa-6245adfab113" ma:anchorId="00000000-0000-0000-0000-000000000000" ma:open="false" ma:isKeyword="false">
      <xsd:complexType>
        <xsd:sequence>
          <xsd:element ref="pc:Terms" minOccurs="0" maxOccurs="1"/>
        </xsd:sequence>
      </xsd:complexType>
    </xsd:element>
    <xsd:element name="QMULAcademicYear" ma:index="20" nillable="true" ma:displayName="Academic Year" ma:decimals="0" ma:internalName="QMULAcademicYear" ma:percentage="FALSE">
      <xsd:simpleType>
        <xsd:restriction base="dms:Number">
          <xsd:maxInclusive value="9999"/>
          <xsd:minInclusive value="1000"/>
        </xsd:restriction>
      </xsd:simpleType>
    </xsd:element>
    <xsd:element name="QMULProject" ma:index="21" nillable="true" ma:displayName="Project" ma:internalName="QMULProject">
      <xsd:simpleType>
        <xsd:restriction base="dms:Text">
          <xsd:maxLength value="255"/>
        </xsd:restriction>
      </xsd:simpleType>
    </xsd:element>
    <xsd:element name="QMULReviewDate" ma:index="22" nillable="true" ma:displayName="Review Date" ma:format="DateOnly" ma:internalName="QMULReviewDate">
      <xsd:simpleType>
        <xsd:restriction base="dms:DateTime"/>
      </xsd:simpleType>
    </xsd:element>
    <xsd:element name="QMULOwner" ma:index="23" nillable="true" ma:displayName="Owner" ma:list="UserInfo" ma:SharePointGroup="0" ma:internalName="QMUL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5efd484-15aa-41a0-83f6-0646502cb6d6" elementFormDefault="qualified">
    <xsd:import namespace="http://schemas.microsoft.com/office/2006/documentManagement/types"/>
    <xsd:import namespace="http://schemas.microsoft.com/office/infopath/2007/PartnerControls"/>
    <xsd:element name="TaxKeywordTaxHTField" ma:index="24" nillable="true" ma:taxonomy="true" ma:internalName="TaxKeywordTaxHTField" ma:taxonomyFieldName="TaxKeyword" ma:displayName="Enterprise Keywords" ma:fieldId="{23f27201-bee3-471e-b2e7-b64fd8b7ca38}" ma:taxonomyMulti="true" ma:sspId="9c18f9b8-5ae4-4f0b-a238-a922c51e2dda" ma:termSetId="00000000-0000-0000-0000-000000000000" ma:anchorId="00000000-0000-0000-0000-000000000000" ma:open="true" ma:isKeyword="true">
      <xsd:complexType>
        <xsd:sequence>
          <xsd:element ref="pc:Terms" minOccurs="0" maxOccurs="1"/>
        </xsd:sequence>
      </xsd:complexType>
    </xsd:element>
    <xsd:element name="TaxCatchAll" ma:index="26" nillable="true" ma:displayName="Taxonomy Catch All Column" ma:hidden="true" ma:list="{80113816-2fcb-4fe8-a08a-70a0f04fce54}" ma:internalName="TaxCatchAll" ma:showField="CatchAllData" ma:web="97028615-ed06-4374-97e7-2451ae5b7b94">
      <xsd:complexType>
        <xsd:complexContent>
          <xsd:extension base="dms:MultiChoiceLookup">
            <xsd:sequence>
              <xsd:element name="Value" type="dms:Lookup" maxOccurs="unbounded" minOccurs="0" nillable="true"/>
            </xsd:sequence>
          </xsd:extension>
        </xsd:complexContent>
      </xsd:complexType>
    </xsd:element>
    <xsd:element name="TaxCatchAllLabel" ma:index="27" nillable="true" ma:displayName="Taxonomy Catch All Column1" ma:hidden="true" ma:list="{80113816-2fcb-4fe8-a08a-70a0f04fce54}" ma:internalName="TaxCatchAllLabel" ma:readOnly="true" ma:showField="CatchAllDataLabel" ma:web="97028615-ed06-4374-97e7-2451ae5b7b94">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f995a362-f1ea-4f36-a838-e742602ff8dc" elementFormDefault="qualified">
    <xsd:import namespace="http://schemas.microsoft.com/office/2006/documentManagement/types"/>
    <xsd:import namespace="http://schemas.microsoft.com/office/infopath/2007/PartnerControls"/>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MediaServiceAutoKeyPoints" ma:index="32" nillable="true" ma:displayName="MediaServiceAutoKeyPoints" ma:hidden="true" ma:internalName="MediaServiceAutoKeyPoints" ma:readOnly="true">
      <xsd:simpleType>
        <xsd:restriction base="dms:Note"/>
      </xsd:simpleType>
    </xsd:element>
    <xsd:element name="MediaServiceKeyPoints" ma:index="33"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97028615-ed06-4374-97e7-2451ae5b7b94" elementFormDefault="qualified">
    <xsd:import namespace="http://schemas.microsoft.com/office/2006/documentManagement/types"/>
    <xsd:import namespace="http://schemas.microsoft.com/office/infopath/2007/PartnerControls"/>
    <xsd:element name="SharedWithUsers" ma:index="3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0ED07E1-3970-44E7-A403-B828C3A948A8}"/>
</file>

<file path=customXml/itemProps2.xml><?xml version="1.0" encoding="utf-8"?>
<ds:datastoreItem xmlns:ds="http://schemas.openxmlformats.org/officeDocument/2006/customXml" ds:itemID="{7E0F65B9-0814-4B49-BDF0-A4BED67ABFFC}"/>
</file>

<file path=customXml/itemProps3.xml><?xml version="1.0" encoding="utf-8"?>
<ds:datastoreItem xmlns:ds="http://schemas.openxmlformats.org/officeDocument/2006/customXml" ds:itemID="{EEF39A67-4AB2-44DC-919C-3034438C45F1}"/>
</file>

<file path=customXml/itemProps4.xml><?xml version="1.0" encoding="utf-8"?>
<ds:datastoreItem xmlns:ds="http://schemas.openxmlformats.org/officeDocument/2006/customXml" ds:itemID="{73B8A036-8D1E-40AA-9B98-A75F1DF62FA2}"/>
</file>

<file path=customXml/itemProps5.xml><?xml version="1.0" encoding="utf-8"?>
<ds:datastoreItem xmlns:ds="http://schemas.openxmlformats.org/officeDocument/2006/customXml" ds:itemID="{2AE5FE99-F79F-4536-BDA0-7BE890A6B2AB}"/>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hmy512</dc:creator>
  <cp:keywords/>
  <dc:description/>
  <cp:lastModifiedBy>Charlotte Yeo</cp:lastModifiedBy>
  <cp:revision/>
  <dcterms:created xsi:type="dcterms:W3CDTF">2020-12-10T23:00:00Z</dcterms:created>
  <dcterms:modified xsi:type="dcterms:W3CDTF">2022-04-19T10:41:46Z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0x0101005EA864BF41DF8A41860E925F5B29BCF500F553BF34473073438DF49462F72B571E</vt:lpwstr>
  </property>
  <property fmtid="{D5CDD505-2E9C-101B-9397-08002B2CF9AE}" pid="3" name="QMULInformationClassification">
    <vt:lpwstr>1;#Protect|9124d8d9-0c1c-41e9-aa14-aba001e9a028</vt:lpwstr>
  </property>
  <property fmtid="{D5CDD505-2E9C-101B-9397-08002B2CF9AE}" pid="4" name="TaxKeyword">
    <vt:lpwstr/>
  </property>
  <property fmtid="{D5CDD505-2E9C-101B-9397-08002B2CF9AE}" pid="5" name="QMULSchool">
    <vt:lpwstr/>
  </property>
  <property fmtid="{D5CDD505-2E9C-101B-9397-08002B2CF9AE}" pid="6" name="QMULDocumentStatus">
    <vt:lpwstr/>
  </property>
  <property fmtid="{D5CDD505-2E9C-101B-9397-08002B2CF9AE}" pid="7" name="QMULLocation">
    <vt:lpwstr/>
  </property>
  <property fmtid="{D5CDD505-2E9C-101B-9397-08002B2CF9AE}" pid="8" name="QMULDepartment">
    <vt:lpwstr/>
  </property>
  <property fmtid="{D5CDD505-2E9C-101B-9397-08002B2CF9AE}" pid="9" name="QMULDocumentType">
    <vt:lpwstr/>
  </property>
</Properties>
</file>